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s\Desktop\מהדסקטופ זום\הרצאת זום שלי שומן עקומות אפרים מאמר לירון\"/>
    </mc:Choice>
  </mc:AlternateContent>
  <workbookProtection workbookPassword="AEB0" lockStructure="1"/>
  <bookViews>
    <workbookView xWindow="0" yWindow="0" windowWidth="20496" windowHeight="780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19" i="1"/>
  <c r="E14" i="1" l="1"/>
  <c r="B30" i="1" l="1"/>
  <c r="E17" i="1" l="1"/>
  <c r="E8" i="1" l="1"/>
  <c r="E7" i="1"/>
  <c r="I13" i="1" l="1"/>
  <c r="H13" i="1"/>
  <c r="L19" i="1"/>
  <c r="R23" i="1"/>
  <c r="T23" i="1" s="1"/>
  <c r="Q23" i="1"/>
  <c r="V23" i="1" s="1"/>
  <c r="R19" i="1"/>
  <c r="T19" i="1" s="1"/>
  <c r="Q19" i="1"/>
  <c r="V19" i="1" s="1"/>
  <c r="N19" i="1" l="1"/>
  <c r="S19" i="1" s="1"/>
  <c r="U19" i="1" s="1"/>
  <c r="W19" i="1" s="1"/>
  <c r="H14" i="1" s="1"/>
  <c r="H15" i="1" s="1"/>
  <c r="I7" i="1" l="1"/>
  <c r="H7" i="1"/>
  <c r="E20" i="1"/>
  <c r="L23" i="1"/>
  <c r="N23" i="1" s="1"/>
  <c r="S23" i="1" s="1"/>
  <c r="U23" i="1" s="1"/>
  <c r="W23" i="1" s="1"/>
  <c r="I14" i="1" s="1"/>
  <c r="I15" i="1" s="1"/>
  <c r="E9" i="1"/>
  <c r="E4" i="1"/>
  <c r="E35" i="1" s="1"/>
  <c r="E16" i="1"/>
  <c r="E18" i="1" l="1"/>
  <c r="E19" i="1" s="1"/>
  <c r="B7" i="1"/>
  <c r="E10" i="1" s="1"/>
  <c r="B12" i="1" l="1"/>
  <c r="E27" i="1" s="1"/>
  <c r="E23" i="1" l="1"/>
  <c r="E30" i="1" s="1"/>
  <c r="E22" i="1"/>
  <c r="E29" i="1" s="1"/>
  <c r="E21" i="1"/>
  <c r="E28" i="1" s="1"/>
  <c r="E24" i="1"/>
  <c r="E32" i="1" s="1"/>
  <c r="B15" i="1"/>
  <c r="B23" i="1"/>
  <c r="B16" i="1"/>
  <c r="E31" i="1" l="1"/>
  <c r="E33" i="1" s="1"/>
  <c r="B24" i="1"/>
  <c r="B27" i="1"/>
  <c r="I8" i="1" l="1"/>
  <c r="E34" i="1"/>
  <c r="E36" i="1" s="1"/>
  <c r="B28" i="1"/>
  <c r="H8" i="1" s="1"/>
  <c r="I16" i="1" l="1"/>
  <c r="I17" i="1" s="1"/>
  <c r="I18" i="1" s="1"/>
  <c r="I9" i="1"/>
  <c r="I10" i="1" s="1"/>
  <c r="H16" i="1"/>
  <c r="H17" i="1" s="1"/>
  <c r="H18" i="1" s="1"/>
  <c r="H9" i="1"/>
  <c r="H10" i="1" s="1"/>
  <c r="B29" i="1"/>
  <c r="B31" i="1" s="1"/>
  <c r="E38" i="1" s="1"/>
  <c r="H11" i="1" l="1"/>
  <c r="H24" i="1" s="1"/>
  <c r="H19" i="1"/>
  <c r="H26" i="1" s="1"/>
</calcChain>
</file>

<file path=xl/sharedStrings.xml><?xml version="1.0" encoding="utf-8"?>
<sst xmlns="http://schemas.openxmlformats.org/spreadsheetml/2006/main" count="113" uniqueCount="77">
  <si>
    <t>פרמטר</t>
  </si>
  <si>
    <t>תקבול מק"ג חלבון ₪</t>
  </si>
  <si>
    <t>תקבול מק"ג שומן ₪</t>
  </si>
  <si>
    <t>תקבול מליטר נוזלים ₪</t>
  </si>
  <si>
    <t xml:space="preserve">ערך </t>
  </si>
  <si>
    <t>איפיון החלב המיוצר במשק</t>
  </si>
  <si>
    <t xml:space="preserve">מחירים: </t>
  </si>
  <si>
    <t>מחיר מטרה (₪/ליטר)</t>
  </si>
  <si>
    <t>ק"ג חלב/נחלבת</t>
  </si>
  <si>
    <t>% שומן משווק</t>
  </si>
  <si>
    <t>ליטר חלב/נחלבת</t>
  </si>
  <si>
    <t>חלבון משווק %</t>
  </si>
  <si>
    <t>כמות חלבון משווק ק"ג</t>
  </si>
  <si>
    <t>כמות שומן משווק ק"ג</t>
  </si>
  <si>
    <t>פידיון מנוזלים ₪</t>
  </si>
  <si>
    <t>פידיון משומן ₪</t>
  </si>
  <si>
    <t>פידיון מחלבון ₪</t>
  </si>
  <si>
    <t>סה"כ פידיון ₪</t>
  </si>
  <si>
    <t>פידיון לליטר ₪</t>
  </si>
  <si>
    <t>אחוז שומן לתשלום רגיל</t>
  </si>
  <si>
    <t>בסיס</t>
  </si>
  <si>
    <t>כמות שומן משווק, רגיל  ק"ג</t>
  </si>
  <si>
    <t>פדיון משומן לתשלום רגיל ₪</t>
  </si>
  <si>
    <t>סה"כ פדיון שומן ₪</t>
  </si>
  <si>
    <t>סה"כ פדיון ₪</t>
  </si>
  <si>
    <t xml:space="preserve"> חדש - % שומן משווק</t>
  </si>
  <si>
    <t>לאחר מבצע</t>
  </si>
  <si>
    <t>מחיר מנה 20 ק"ג</t>
  </si>
  <si>
    <t>עלות הזנה/יום</t>
  </si>
  <si>
    <t>הכנסות מחלב</t>
  </si>
  <si>
    <t>יתרה/יום</t>
  </si>
  <si>
    <t>יתרה/ליטר</t>
  </si>
  <si>
    <t>רווח/ליטר</t>
  </si>
  <si>
    <t>תנובת חלב (ק"ג) Milk P</t>
  </si>
  <si>
    <t xml:space="preserve"> F % שומן</t>
  </si>
  <si>
    <t>4% FCM</t>
  </si>
  <si>
    <t>משקל גוף (ק"ג) BW</t>
  </si>
  <si>
    <t>ימים בחליבה DIM</t>
  </si>
  <si>
    <t>שבועות בחליבה</t>
  </si>
  <si>
    <t>BW^0.75</t>
  </si>
  <si>
    <t>A</t>
  </si>
  <si>
    <t>B</t>
  </si>
  <si>
    <t>C</t>
  </si>
  <si>
    <t>D</t>
  </si>
  <si>
    <t>צריכת מזון DMI</t>
  </si>
  <si>
    <r>
      <t xml:space="preserve">חישוב צריכת מזון על פי ה-NRC 2001 (מבוסס על נתוני היצור ונתוני הפרה הנ"ל) - </t>
    </r>
    <r>
      <rPr>
        <b/>
        <sz val="11"/>
        <color rgb="FFFF0000"/>
        <rFont val="Arial"/>
        <family val="2"/>
      </rPr>
      <t>בסיס</t>
    </r>
  </si>
  <si>
    <r>
      <t xml:space="preserve">חישוב צריכת מזון על פי ה-NRC 2001 (מבוסס על נתוני היצור ונתוני הפרה הנ"ל) - </t>
    </r>
    <r>
      <rPr>
        <b/>
        <sz val="11"/>
        <color rgb="FFFF0000"/>
        <rFont val="Arial"/>
        <family val="2"/>
      </rPr>
      <t>מבצע</t>
    </r>
  </si>
  <si>
    <t>נתוני עזר לצריכת מזון לפני ואחרי השינוי</t>
  </si>
  <si>
    <t>מחיר ק"ג ח"י</t>
  </si>
  <si>
    <t>צריכת מזון NRC</t>
  </si>
  <si>
    <t>חישוב מחודש עם תיקוני צריכת מזון</t>
  </si>
  <si>
    <t>חישובים: יתרות ורווח לליטר</t>
  </si>
  <si>
    <t>חישוב בהנחה של צריכת מזון זהה</t>
  </si>
  <si>
    <t>הכנסה מחלב</t>
  </si>
  <si>
    <t>מקדם תאבון</t>
  </si>
  <si>
    <t>אמבר</t>
  </si>
  <si>
    <t>תקבול מק"ג שומן מבצע עשירית I ₪</t>
  </si>
  <si>
    <t>תקבול מק"ג שומן מבצע  עשירית II ויותר ₪</t>
  </si>
  <si>
    <t>תוספת עשיריות שומן סה"כ</t>
  </si>
  <si>
    <t>עשירית שומן I לתשלום בונוס</t>
  </si>
  <si>
    <t>תוספת כמות שומן משווק, מבצע עשירית I ק"ג</t>
  </si>
  <si>
    <t>תוספת כמות שומן משווק, מבצע עשירית II וויותר</t>
  </si>
  <si>
    <t>תוספת פדיון משומן לתשלום מבצע עשירית I ₪</t>
  </si>
  <si>
    <t>תוספת פדיון משומן לתשלום מבצע עשירית II ויותר ₪</t>
  </si>
  <si>
    <t>עשיריות שומן II ויותר לתשלום בונוס</t>
  </si>
  <si>
    <t>תוספת הכנסה - צריכת מזון קבועה</t>
  </si>
  <si>
    <t>תוספת הכנסה - צריכת מזון משתנה לפי NRC</t>
  </si>
  <si>
    <t>מחיר מטרה</t>
  </si>
  <si>
    <t>הפרש פדיון/מחיר מטרה ₪</t>
  </si>
  <si>
    <t>הכנס כמות חלב משווקת, ל'</t>
  </si>
  <si>
    <t>הפרש פידיון לליטר בין שני המצבים (₪):</t>
  </si>
  <si>
    <t>רן סולומון</t>
  </si>
  <si>
    <t>חישוב התרומה של הגדלת מחיר השומן על ידי המחלבה ב-25% (עשירית I) וב-50% (עשירית II). יש להכניס ערכים רק בתאים המסומנים בתכלת. מתאים לשימוש רק במצב של יצור % שומן גבוה יותר (בונוס חיובי בלבד); תודה ליעל על הסיוע בנוסחאות.</t>
  </si>
  <si>
    <t>מבצע מחלבה</t>
  </si>
  <si>
    <t xml:space="preserve">מקדם בונוס שומן מחלבה עשירית II ויותר </t>
  </si>
  <si>
    <t xml:space="preserve">מקדם בונוס שומן מחלבה עשירית I </t>
  </si>
  <si>
    <t>הכניסו ערכים בתאים הצבועים תכלת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</si>
</sst>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₪&quot;\ * #,##0.00_ ;_ &quot;₪&quot;\ * \-#,##0.00_ ;_ &quot;₪&quot;\ * &quot;-&quot;??_ ;_ @_ "/>
    <numFmt numFmtId="164" formatCode="0.000"/>
    <numFmt numFmtId="165" formatCode="0.0000"/>
    <numFmt numFmtId="166" formatCode="0.0"/>
    <numFmt numFmtId="167" formatCode="_ &quot;₪&quot;\ * #,##0.000_ ;_ &quot;₪&quot;\ * \-#,##0.000_ ;_ &quot;₪&quot;\ * &quot;-&quot;??_ ;_ @_ "/>
    <numFmt numFmtId="168" formatCode="_ &quot;₪&quot;\ * #,##0.0000_ ;_ &quot;₪&quot;\ * \-#,##0.0000_ ;_ &quot;₪&quot;\ * &quot;-&quot;??_ ;_ @_ "/>
    <numFmt numFmtId="169" formatCode="_ &quot;₪&quot;\ * #,##0_ ;_ &quot;₪&quot;\ * \-#,##0_ ;_ &quot;₪&quot;\ * &quot;-&quot;??_ ;_ @_ "/>
  </numFmts>
  <fonts count="19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indexed="8"/>
      <name val="Arial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  <scheme val="minor"/>
    </font>
    <font>
      <sz val="18"/>
      <color rgb="FFFF0000"/>
      <name val="Arial"/>
      <family val="2"/>
      <charset val="177"/>
      <scheme val="minor"/>
    </font>
    <font>
      <sz val="18"/>
      <color theme="1"/>
      <name val="Arial"/>
      <family val="2"/>
      <charset val="177"/>
      <scheme val="minor"/>
    </font>
    <font>
      <b/>
      <sz val="12"/>
      <color rgb="FFFF0000"/>
      <name val="Arial"/>
      <family val="2"/>
      <scheme val="minor"/>
    </font>
    <font>
      <b/>
      <sz val="11"/>
      <color rgb="FF00206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165" fontId="4" fillId="3" borderId="0" xfId="0" applyNumberFormat="1" applyFont="1" applyFill="1" applyAlignment="1" applyProtection="1">
      <alignment horizontal="center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right"/>
    </xf>
    <xf numFmtId="44" fontId="4" fillId="0" borderId="0" xfId="1" applyFont="1" applyFill="1" applyAlignment="1" applyProtection="1">
      <alignment horizontal="center"/>
    </xf>
    <xf numFmtId="44" fontId="4" fillId="0" borderId="0" xfId="0" applyNumberFormat="1" applyFont="1" applyFill="1" applyAlignment="1" applyProtection="1">
      <alignment horizontal="center"/>
    </xf>
    <xf numFmtId="2" fontId="4" fillId="0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Fill="1" applyAlignment="1" applyProtection="1">
      <alignment horizontal="center"/>
    </xf>
    <xf numFmtId="0" fontId="4" fillId="2" borderId="0" xfId="0" applyFont="1" applyFill="1" applyProtection="1"/>
    <xf numFmtId="0" fontId="11" fillId="2" borderId="0" xfId="0" applyFont="1" applyFill="1" applyProtection="1"/>
    <xf numFmtId="167" fontId="4" fillId="0" borderId="0" xfId="0" applyNumberFormat="1" applyFont="1" applyFill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 wrapText="1"/>
    </xf>
    <xf numFmtId="0" fontId="9" fillId="4" borderId="4" xfId="0" applyFont="1" applyFill="1" applyBorder="1" applyAlignment="1" applyProtection="1">
      <alignment horizontal="center"/>
    </xf>
    <xf numFmtId="1" fontId="9" fillId="2" borderId="4" xfId="0" applyNumberFormat="1" applyFont="1" applyFill="1" applyBorder="1" applyAlignment="1" applyProtection="1">
      <alignment horizontal="center"/>
    </xf>
    <xf numFmtId="166" fontId="9" fillId="4" borderId="4" xfId="0" applyNumberFormat="1" applyFont="1" applyFill="1" applyBorder="1" applyAlignment="1" applyProtection="1">
      <alignment horizontal="center" wrapText="1"/>
    </xf>
    <xf numFmtId="2" fontId="9" fillId="4" borderId="4" xfId="0" applyNumberFormat="1" applyFont="1" applyFill="1" applyBorder="1" applyAlignment="1" applyProtection="1">
      <alignment horizontal="center"/>
    </xf>
    <xf numFmtId="2" fontId="9" fillId="4" borderId="4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center"/>
    </xf>
    <xf numFmtId="44" fontId="4" fillId="3" borderId="0" xfId="1" applyFont="1" applyFill="1" applyAlignment="1" applyProtection="1">
      <alignment horizontal="center"/>
      <protection locked="0"/>
    </xf>
    <xf numFmtId="0" fontId="14" fillId="3" borderId="4" xfId="0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" fontId="4" fillId="3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</xf>
    <xf numFmtId="164" fontId="17" fillId="2" borderId="0" xfId="0" applyNumberFormat="1" applyFont="1" applyFill="1" applyAlignment="1" applyProtection="1">
      <alignment horizontal="center"/>
    </xf>
    <xf numFmtId="3" fontId="12" fillId="3" borderId="0" xfId="0" applyNumberFormat="1" applyFont="1" applyFill="1" applyAlignment="1" applyProtection="1">
      <alignment horizontal="center"/>
      <protection locked="0"/>
    </xf>
    <xf numFmtId="167" fontId="5" fillId="2" borderId="0" xfId="1" applyNumberFormat="1" applyFont="1" applyFill="1" applyAlignment="1" applyProtection="1">
      <alignment horizontal="center"/>
    </xf>
    <xf numFmtId="169" fontId="13" fillId="2" borderId="0" xfId="0" applyNumberFormat="1" applyFont="1" applyFill="1" applyAlignment="1" applyProtection="1">
      <alignment horizontal="center"/>
    </xf>
    <xf numFmtId="168" fontId="18" fillId="2" borderId="0" xfId="0" applyNumberFormat="1" applyFont="1" applyFill="1" applyAlignment="1" applyProtection="1">
      <alignment horizontal="center"/>
    </xf>
    <xf numFmtId="14" fontId="3" fillId="2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169" fontId="18" fillId="2" borderId="0" xfId="0" applyNumberFormat="1" applyFont="1" applyFill="1" applyAlignment="1" applyProtection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5" fillId="0" borderId="0" xfId="0" applyFont="1" applyAlignment="1" applyProtection="1">
      <alignment wrapText="1"/>
    </xf>
    <xf numFmtId="0" fontId="16" fillId="0" borderId="0" xfId="0" applyFont="1" applyAlignment="1">
      <alignment wrapText="1"/>
    </xf>
    <xf numFmtId="0" fontId="6" fillId="5" borderId="1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 wrapText="1"/>
    </xf>
    <xf numFmtId="165" fontId="4" fillId="0" borderId="0" xfId="0" applyNumberFormat="1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174173</xdr:colOff>
      <xdr:row>0</xdr:row>
      <xdr:rowOff>141514</xdr:rowOff>
    </xdr:from>
    <xdr:to>
      <xdr:col>12</xdr:col>
      <xdr:colOff>132391</xdr:colOff>
      <xdr:row>3</xdr:row>
      <xdr:rowOff>74118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6407438" y="141514"/>
          <a:ext cx="785532" cy="988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rightToLeft="1" tabSelected="1" zoomScale="70" zoomScaleNormal="70" workbookViewId="0">
      <selection activeCell="C15" sqref="C15"/>
    </sheetView>
  </sheetViews>
  <sheetFormatPr defaultRowHeight="13.8" x14ac:dyDescent="0.25"/>
  <cols>
    <col min="1" max="1" width="20.8984375" style="5" bestFit="1" customWidth="1"/>
    <col min="2" max="2" width="10.3984375" style="5" customWidth="1"/>
    <col min="3" max="3" width="18.3984375" style="5" customWidth="1"/>
    <col min="4" max="4" width="40" style="5" customWidth="1"/>
    <col min="5" max="5" width="13" style="5" customWidth="1"/>
    <col min="6" max="6" width="8.796875" style="5"/>
    <col min="7" max="7" width="21.796875" style="29" customWidth="1"/>
    <col min="8" max="8" width="11.3984375" style="29" customWidth="1"/>
    <col min="9" max="9" width="12.3984375" style="29" bestFit="1" customWidth="1"/>
    <col min="10" max="10" width="12.3984375" style="4" customWidth="1"/>
    <col min="11" max="11" width="2.69921875" style="5" bestFit="1" customWidth="1"/>
    <col min="12" max="12" width="10.8984375" style="5" bestFit="1" customWidth="1"/>
    <col min="13" max="13" width="8.09765625" style="5" bestFit="1" customWidth="1"/>
    <col min="14" max="14" width="7.3984375" style="5" bestFit="1" customWidth="1"/>
    <col min="15" max="15" width="15.5" style="5" bestFit="1" customWidth="1"/>
    <col min="16" max="16" width="13.296875" style="5" bestFit="1" customWidth="1"/>
    <col min="17" max="17" width="11.59765625" style="5" hidden="1" customWidth="1"/>
    <col min="18" max="18" width="8" style="5" hidden="1" customWidth="1"/>
    <col min="19" max="19" width="5.69921875" style="5" hidden="1" customWidth="1"/>
    <col min="20" max="20" width="5" style="5" hidden="1" customWidth="1"/>
    <col min="21" max="21" width="5.69921875" style="5" hidden="1" customWidth="1"/>
    <col min="22" max="22" width="4.09765625" style="5" hidden="1" customWidth="1"/>
    <col min="23" max="23" width="11.59765625" style="5" bestFit="1" customWidth="1"/>
    <col min="24" max="16384" width="8.796875" style="5"/>
  </cols>
  <sheetData>
    <row r="1" spans="1:23" ht="49.2" customHeight="1" x14ac:dyDescent="0.4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4"/>
    </row>
    <row r="2" spans="1:23" s="7" customFormat="1" ht="17.399999999999999" x14ac:dyDescent="0.3">
      <c r="A2" s="6" t="s">
        <v>0</v>
      </c>
      <c r="B2" s="6" t="s">
        <v>4</v>
      </c>
      <c r="C2" s="45">
        <v>44013</v>
      </c>
      <c r="D2" s="6" t="s">
        <v>0</v>
      </c>
      <c r="E2" s="6" t="s">
        <v>4</v>
      </c>
      <c r="G2" s="47" t="s">
        <v>51</v>
      </c>
      <c r="H2" s="48"/>
      <c r="I2" s="48"/>
      <c r="J2" s="8"/>
    </row>
    <row r="3" spans="1:23" s="7" customFormat="1" ht="17.399999999999999" x14ac:dyDescent="0.3">
      <c r="A3" s="9" t="s">
        <v>6</v>
      </c>
      <c r="B3" s="10" t="s">
        <v>20</v>
      </c>
      <c r="C3" s="30" t="s">
        <v>71</v>
      </c>
      <c r="D3" s="9" t="s">
        <v>6</v>
      </c>
      <c r="E3" s="10" t="s">
        <v>73</v>
      </c>
      <c r="G3" s="6" t="s">
        <v>0</v>
      </c>
      <c r="H3" s="6" t="s">
        <v>20</v>
      </c>
      <c r="I3" s="6" t="s">
        <v>26</v>
      </c>
      <c r="J3" s="6"/>
    </row>
    <row r="4" spans="1:23" s="7" customFormat="1" x14ac:dyDescent="0.25">
      <c r="A4" s="8" t="s">
        <v>7</v>
      </c>
      <c r="B4" s="1">
        <v>1.9161999999999999</v>
      </c>
      <c r="C4" s="34" t="s">
        <v>55</v>
      </c>
      <c r="D4" s="8" t="s">
        <v>7</v>
      </c>
      <c r="E4" s="1">
        <f>B4</f>
        <v>1.9161999999999999</v>
      </c>
      <c r="G4" s="49" t="s">
        <v>52</v>
      </c>
      <c r="H4" s="50"/>
      <c r="I4" s="50"/>
      <c r="J4" s="8"/>
    </row>
    <row r="5" spans="1:23" s="7" customFormat="1" ht="26.4" customHeight="1" x14ac:dyDescent="0.25">
      <c r="A5" s="8" t="s">
        <v>2</v>
      </c>
      <c r="B5" s="3">
        <v>19.188600000000001</v>
      </c>
      <c r="C5" s="60" t="s">
        <v>76</v>
      </c>
      <c r="D5" s="8" t="s">
        <v>75</v>
      </c>
      <c r="E5" s="1">
        <v>1.25</v>
      </c>
      <c r="G5" s="8" t="s">
        <v>27</v>
      </c>
      <c r="H5" s="32">
        <v>22</v>
      </c>
      <c r="I5" s="32">
        <v>23</v>
      </c>
      <c r="J5" s="8"/>
    </row>
    <row r="6" spans="1:23" s="7" customFormat="1" x14ac:dyDescent="0.25">
      <c r="A6" s="8" t="s">
        <v>1</v>
      </c>
      <c r="B6" s="1">
        <v>28.783000000000001</v>
      </c>
      <c r="C6" s="59"/>
      <c r="D6" s="8" t="s">
        <v>74</v>
      </c>
      <c r="E6" s="1">
        <v>1.5</v>
      </c>
      <c r="G6" s="8" t="s">
        <v>54</v>
      </c>
      <c r="H6" s="3">
        <v>1.35</v>
      </c>
      <c r="I6" s="3">
        <v>1.35</v>
      </c>
      <c r="J6" s="8"/>
    </row>
    <row r="7" spans="1:23" s="7" customFormat="1" x14ac:dyDescent="0.25">
      <c r="A7" s="8" t="s">
        <v>3</v>
      </c>
      <c r="B7" s="1">
        <f>B4/10</f>
        <v>0.19161999999999998</v>
      </c>
      <c r="C7" s="11"/>
      <c r="D7" s="8" t="s">
        <v>56</v>
      </c>
      <c r="E7" s="11">
        <f>B5*E5</f>
        <v>23.985750000000003</v>
      </c>
      <c r="G7" s="8" t="s">
        <v>28</v>
      </c>
      <c r="H7" s="13">
        <f>H5*H6</f>
        <v>29.700000000000003</v>
      </c>
      <c r="I7" s="13">
        <f>I5*I6</f>
        <v>31.05</v>
      </c>
      <c r="J7" s="13"/>
    </row>
    <row r="8" spans="1:23" s="7" customFormat="1" x14ac:dyDescent="0.25">
      <c r="A8" s="8"/>
      <c r="B8" s="11"/>
      <c r="C8" s="8"/>
      <c r="D8" s="8" t="s">
        <v>57</v>
      </c>
      <c r="E8" s="11">
        <f>B5*E6</f>
        <v>28.782900000000001</v>
      </c>
      <c r="G8" s="8" t="s">
        <v>29</v>
      </c>
      <c r="H8" s="13">
        <f>B28</f>
        <v>72.913937209302333</v>
      </c>
      <c r="I8" s="13">
        <f>E33</f>
        <v>74.959233720930243</v>
      </c>
      <c r="J8" s="13"/>
    </row>
    <row r="9" spans="1:23" s="7" customFormat="1" x14ac:dyDescent="0.25">
      <c r="A9" s="8"/>
      <c r="B9" s="8"/>
      <c r="C9" s="8"/>
      <c r="D9" s="8" t="s">
        <v>1</v>
      </c>
      <c r="E9" s="11">
        <f>B6</f>
        <v>28.783000000000001</v>
      </c>
      <c r="G9" s="8" t="s">
        <v>30</v>
      </c>
      <c r="H9" s="14">
        <f>H8-H7</f>
        <v>43.21393720930233</v>
      </c>
      <c r="I9" s="14">
        <f>I8-I7</f>
        <v>43.909233720930246</v>
      </c>
      <c r="J9" s="14"/>
    </row>
    <row r="10" spans="1:23" s="7" customFormat="1" x14ac:dyDescent="0.25">
      <c r="A10" s="9" t="s">
        <v>5</v>
      </c>
      <c r="B10" s="8"/>
      <c r="C10" s="8"/>
      <c r="D10" s="8" t="s">
        <v>3</v>
      </c>
      <c r="E10" s="11">
        <f>B7</f>
        <v>0.19161999999999998</v>
      </c>
      <c r="G10" s="8" t="s">
        <v>31</v>
      </c>
      <c r="H10" s="14">
        <f>H9/B12</f>
        <v>1.1149195800000002</v>
      </c>
      <c r="I10" s="14">
        <f>I9/E14</f>
        <v>1.1328582300000003</v>
      </c>
      <c r="J10" s="14"/>
    </row>
    <row r="11" spans="1:23" s="7" customFormat="1" x14ac:dyDescent="0.25">
      <c r="A11" s="8" t="s">
        <v>8</v>
      </c>
      <c r="B11" s="3">
        <v>40</v>
      </c>
      <c r="C11" s="15"/>
      <c r="D11" s="8"/>
      <c r="E11" s="8"/>
      <c r="G11" s="16" t="s">
        <v>32</v>
      </c>
      <c r="H11" s="42">
        <f>I10-H10</f>
        <v>1.7938650000000056E-2</v>
      </c>
      <c r="I11" s="8"/>
      <c r="J11" s="8"/>
    </row>
    <row r="12" spans="1:23" s="7" customFormat="1" x14ac:dyDescent="0.25">
      <c r="A12" s="8" t="s">
        <v>10</v>
      </c>
      <c r="B12" s="15">
        <f>B11/1.032</f>
        <v>38.759689922480618</v>
      </c>
      <c r="C12" s="17"/>
      <c r="D12" s="9" t="s">
        <v>5</v>
      </c>
      <c r="E12" s="8"/>
      <c r="G12" s="49" t="s">
        <v>50</v>
      </c>
      <c r="H12" s="50"/>
      <c r="I12" s="50"/>
      <c r="J12" s="4"/>
    </row>
    <row r="13" spans="1:23" s="7" customFormat="1" x14ac:dyDescent="0.25">
      <c r="A13" s="8" t="s">
        <v>9</v>
      </c>
      <c r="B13" s="2">
        <v>3.78</v>
      </c>
      <c r="C13" s="17"/>
      <c r="D13" s="8" t="s">
        <v>8</v>
      </c>
      <c r="E13" s="38">
        <v>40</v>
      </c>
      <c r="G13" s="8" t="s">
        <v>48</v>
      </c>
      <c r="H13" s="13">
        <f>H5/20</f>
        <v>1.1000000000000001</v>
      </c>
      <c r="I13" s="13">
        <f>I5/20</f>
        <v>1.1499999999999999</v>
      </c>
      <c r="J13" s="8"/>
    </row>
    <row r="14" spans="1:23" s="7" customFormat="1" x14ac:dyDescent="0.25">
      <c r="A14" s="8" t="s">
        <v>11</v>
      </c>
      <c r="B14" s="2">
        <v>3.35</v>
      </c>
      <c r="C14" s="17"/>
      <c r="D14" s="8" t="s">
        <v>10</v>
      </c>
      <c r="E14" s="15">
        <f>E13/1.032</f>
        <v>38.759689922480618</v>
      </c>
      <c r="G14" s="8" t="s">
        <v>49</v>
      </c>
      <c r="H14" s="15">
        <f>W19</f>
        <v>26.493356050705657</v>
      </c>
      <c r="I14" s="15">
        <f>W23</f>
        <v>26.92436530158805</v>
      </c>
      <c r="J14" s="15"/>
    </row>
    <row r="15" spans="1:23" s="7" customFormat="1" ht="21" x14ac:dyDescent="0.4">
      <c r="A15" s="8" t="s">
        <v>13</v>
      </c>
      <c r="B15" s="17">
        <f>B12*B13/100</f>
        <v>1.4651162790697674</v>
      </c>
      <c r="C15" s="17"/>
      <c r="D15" s="8" t="s">
        <v>25</v>
      </c>
      <c r="E15" s="2">
        <v>3.98</v>
      </c>
      <c r="G15" s="8" t="s">
        <v>28</v>
      </c>
      <c r="H15" s="13">
        <f>H13*H14</f>
        <v>29.142691655776225</v>
      </c>
      <c r="I15" s="13">
        <f>I13*I14</f>
        <v>30.963020096826256</v>
      </c>
      <c r="J15" s="18"/>
      <c r="L15" s="19"/>
      <c r="M15" s="20" t="s">
        <v>47</v>
      </c>
      <c r="N15" s="20"/>
      <c r="O15" s="20"/>
      <c r="P15" s="20"/>
      <c r="Q15" s="20"/>
      <c r="R15" s="20"/>
      <c r="S15" s="20"/>
      <c r="T15" s="20"/>
      <c r="U15" s="20"/>
      <c r="V15" s="19"/>
      <c r="W15" s="19"/>
    </row>
    <row r="16" spans="1:23" s="7" customFormat="1" x14ac:dyDescent="0.25">
      <c r="A16" s="8" t="s">
        <v>12</v>
      </c>
      <c r="B16" s="17">
        <f>B12*B14/100</f>
        <v>1.2984496124031009</v>
      </c>
      <c r="C16" s="8"/>
      <c r="D16" s="8" t="s">
        <v>58</v>
      </c>
      <c r="E16" s="17">
        <f>E15-B13</f>
        <v>0.20000000000000018</v>
      </c>
      <c r="G16" s="8" t="s">
        <v>29</v>
      </c>
      <c r="H16" s="14">
        <f>H8</f>
        <v>72.913937209302333</v>
      </c>
      <c r="I16" s="14">
        <f>I8</f>
        <v>74.959233720930243</v>
      </c>
      <c r="J16" s="14"/>
    </row>
    <row r="17" spans="1:23" s="7" customFormat="1" x14ac:dyDescent="0.25">
      <c r="A17" s="8"/>
      <c r="B17" s="17"/>
      <c r="C17" s="11"/>
      <c r="D17" s="8" t="s">
        <v>19</v>
      </c>
      <c r="E17" s="17">
        <f>B13</f>
        <v>3.78</v>
      </c>
      <c r="G17" s="8" t="s">
        <v>30</v>
      </c>
      <c r="H17" s="14">
        <f>H16-H15</f>
        <v>43.771245553526107</v>
      </c>
      <c r="I17" s="14">
        <f>I16-I15</f>
        <v>43.996213624103987</v>
      </c>
      <c r="J17" s="8"/>
      <c r="K17" s="55" t="s">
        <v>45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</row>
    <row r="18" spans="1:23" s="7" customFormat="1" ht="13.8" customHeight="1" x14ac:dyDescent="0.25">
      <c r="A18" s="8"/>
      <c r="B18" s="17"/>
      <c r="C18" s="11"/>
      <c r="D18" s="8" t="s">
        <v>59</v>
      </c>
      <c r="E18" s="17">
        <f>IF(E16&gt;0.1,0.1,IF(E16&gt;=0,E16,IF(E16&lt;0,0,E16)))</f>
        <v>0.1</v>
      </c>
      <c r="G18" s="8" t="s">
        <v>31</v>
      </c>
      <c r="H18" s="21">
        <f>H17/B12</f>
        <v>1.1292981352809737</v>
      </c>
      <c r="I18" s="21">
        <f>I17/E14</f>
        <v>1.135102311501883</v>
      </c>
      <c r="J18" s="8"/>
      <c r="K18" s="22"/>
      <c r="L18" s="23" t="s">
        <v>33</v>
      </c>
      <c r="M18" s="24" t="s">
        <v>34</v>
      </c>
      <c r="N18" s="23" t="s">
        <v>35</v>
      </c>
      <c r="O18" s="25" t="s">
        <v>36</v>
      </c>
      <c r="P18" s="25" t="s">
        <v>37</v>
      </c>
      <c r="Q18" s="24" t="s">
        <v>38</v>
      </c>
      <c r="R18" s="24" t="s">
        <v>39</v>
      </c>
      <c r="S18" s="24" t="s">
        <v>40</v>
      </c>
      <c r="T18" s="24" t="s">
        <v>41</v>
      </c>
      <c r="U18" s="24" t="s">
        <v>42</v>
      </c>
      <c r="V18" s="24" t="s">
        <v>43</v>
      </c>
      <c r="W18" s="24" t="s">
        <v>44</v>
      </c>
    </row>
    <row r="19" spans="1:23" s="7" customFormat="1" x14ac:dyDescent="0.25">
      <c r="A19" s="8"/>
      <c r="B19" s="17"/>
      <c r="C19" s="11"/>
      <c r="D19" s="8" t="s">
        <v>64</v>
      </c>
      <c r="E19" s="17">
        <f>E16-E18</f>
        <v>0.10000000000000017</v>
      </c>
      <c r="G19" s="16" t="s">
        <v>32</v>
      </c>
      <c r="H19" s="44">
        <f>I18-H18</f>
        <v>5.8041762209093406E-3</v>
      </c>
      <c r="I19" s="8"/>
      <c r="J19" s="8"/>
      <c r="K19" s="22"/>
      <c r="L19" s="26">
        <f>B11</f>
        <v>40</v>
      </c>
      <c r="M19" s="27">
        <f>B13/1.032</f>
        <v>3.6627906976744184</v>
      </c>
      <c r="N19" s="28">
        <f>(L19*0.4)+(L19*M19*15/100)</f>
        <v>37.976744186046517</v>
      </c>
      <c r="O19" s="33">
        <v>650</v>
      </c>
      <c r="P19" s="33">
        <v>180</v>
      </c>
      <c r="Q19" s="27">
        <f>P19/7</f>
        <v>25.714285714285715</v>
      </c>
      <c r="R19" s="27">
        <f>O19^0.75</f>
        <v>128.73155564653348</v>
      </c>
      <c r="S19" s="27">
        <f>0.372*N19</f>
        <v>14.127348837209304</v>
      </c>
      <c r="T19" s="27">
        <f>0.0968*R19</f>
        <v>12.46121458658444</v>
      </c>
      <c r="U19" s="27">
        <f>S19+T19</f>
        <v>26.588563423793744</v>
      </c>
      <c r="V19" s="27">
        <f>1-(2.71828^(-0.192*(Q19+3.62)))</f>
        <v>0.99641923591092219</v>
      </c>
      <c r="W19" s="27">
        <f>U19*V19</f>
        <v>26.493356050705657</v>
      </c>
    </row>
    <row r="20" spans="1:23" s="7" customFormat="1" x14ac:dyDescent="0.25">
      <c r="A20" s="8"/>
      <c r="B20" s="17"/>
      <c r="C20" s="11"/>
      <c r="D20" s="8" t="s">
        <v>11</v>
      </c>
      <c r="E20" s="2">
        <f>B14</f>
        <v>3.35</v>
      </c>
      <c r="G20" s="8"/>
      <c r="H20" s="8"/>
      <c r="I20" s="8"/>
      <c r="J20" s="8"/>
    </row>
    <row r="21" spans="1:23" s="7" customFormat="1" x14ac:dyDescent="0.25">
      <c r="A21" s="8"/>
      <c r="B21" s="17"/>
      <c r="C21" s="11"/>
      <c r="D21" s="8" t="s">
        <v>21</v>
      </c>
      <c r="E21" s="17">
        <f>E14*E17/100</f>
        <v>1.4651162790697674</v>
      </c>
      <c r="G21" s="8"/>
      <c r="H21" s="8"/>
      <c r="I21" s="8"/>
      <c r="J21" s="8"/>
      <c r="K21" s="55" t="s">
        <v>46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</row>
    <row r="22" spans="1:23" ht="12.6" customHeight="1" x14ac:dyDescent="0.25">
      <c r="A22" s="9" t="s">
        <v>53</v>
      </c>
      <c r="B22" s="8"/>
      <c r="C22" s="29"/>
      <c r="D22" s="8" t="s">
        <v>60</v>
      </c>
      <c r="E22" s="17">
        <f>E14*E18/100</f>
        <v>3.875968992248062E-2</v>
      </c>
      <c r="G22" s="9" t="s">
        <v>69</v>
      </c>
      <c r="H22" s="41">
        <v>300000</v>
      </c>
      <c r="K22" s="22"/>
      <c r="L22" s="23" t="s">
        <v>33</v>
      </c>
      <c r="M22" s="24" t="s">
        <v>34</v>
      </c>
      <c r="N22" s="23" t="s">
        <v>35</v>
      </c>
      <c r="O22" s="25" t="s">
        <v>36</v>
      </c>
      <c r="P22" s="25" t="s">
        <v>37</v>
      </c>
      <c r="Q22" s="24" t="s">
        <v>38</v>
      </c>
      <c r="R22" s="24" t="s">
        <v>39</v>
      </c>
      <c r="S22" s="24" t="s">
        <v>40</v>
      </c>
      <c r="T22" s="24" t="s">
        <v>41</v>
      </c>
      <c r="U22" s="24" t="s">
        <v>42</v>
      </c>
      <c r="V22" s="24" t="s">
        <v>43</v>
      </c>
      <c r="W22" s="24" t="s">
        <v>44</v>
      </c>
    </row>
    <row r="23" spans="1:23" x14ac:dyDescent="0.25">
      <c r="A23" s="8" t="s">
        <v>14</v>
      </c>
      <c r="B23" s="11">
        <f>B12*B7</f>
        <v>7.4271317829457351</v>
      </c>
      <c r="C23" s="29"/>
      <c r="D23" s="8" t="s">
        <v>61</v>
      </c>
      <c r="E23" s="17">
        <f>E14*E19/100</f>
        <v>3.8759689922480682E-2</v>
      </c>
      <c r="F23" s="58" t="s">
        <v>65</v>
      </c>
      <c r="G23" s="58"/>
      <c r="K23" s="22"/>
      <c r="L23" s="26">
        <f>E13</f>
        <v>40</v>
      </c>
      <c r="M23" s="27">
        <f>E15/1.032</f>
        <v>3.8565891472868215</v>
      </c>
      <c r="N23" s="28">
        <f>(L23*0.4)+(L23*M23*15/100)</f>
        <v>39.139534883720927</v>
      </c>
      <c r="O23" s="33">
        <v>650</v>
      </c>
      <c r="P23" s="33">
        <v>180</v>
      </c>
      <c r="Q23" s="27">
        <f>P23/7</f>
        <v>25.714285714285715</v>
      </c>
      <c r="R23" s="27">
        <f>O23^0.75</f>
        <v>128.73155564653348</v>
      </c>
      <c r="S23" s="27">
        <f>0.372*N23</f>
        <v>14.559906976744184</v>
      </c>
      <c r="T23" s="27">
        <f>0.0968*R23</f>
        <v>12.46121458658444</v>
      </c>
      <c r="U23" s="27">
        <f>S23+T23</f>
        <v>27.021121563328624</v>
      </c>
      <c r="V23" s="27">
        <f>1-(2.71828^(-0.192*(Q23+3.62)))</f>
        <v>0.99641923591092219</v>
      </c>
      <c r="W23" s="27">
        <f>U23*V23</f>
        <v>26.92436530158805</v>
      </c>
    </row>
    <row r="24" spans="1:23" x14ac:dyDescent="0.25">
      <c r="A24" s="8" t="s">
        <v>15</v>
      </c>
      <c r="B24" s="11">
        <f>B5*B15</f>
        <v>28.113530232558141</v>
      </c>
      <c r="C24" s="29"/>
      <c r="D24" s="8" t="s">
        <v>12</v>
      </c>
      <c r="E24" s="17">
        <f>E14*E20/100</f>
        <v>1.2984496124031009</v>
      </c>
      <c r="F24" s="58"/>
      <c r="G24" s="58"/>
      <c r="H24" s="43">
        <f>H11*H22</f>
        <v>5381.5950000000166</v>
      </c>
    </row>
    <row r="25" spans="1:23" x14ac:dyDescent="0.25">
      <c r="A25" s="8"/>
      <c r="B25" s="11"/>
      <c r="C25" s="29"/>
      <c r="D25" s="8"/>
      <c r="E25" s="8"/>
    </row>
    <row r="26" spans="1:23" x14ac:dyDescent="0.25">
      <c r="A26" s="8"/>
      <c r="B26" s="11"/>
      <c r="C26" s="29"/>
      <c r="D26" s="9" t="s">
        <v>53</v>
      </c>
      <c r="E26" s="12"/>
      <c r="F26" s="58" t="s">
        <v>66</v>
      </c>
      <c r="G26" s="58"/>
      <c r="H26" s="51">
        <f>H19*H22</f>
        <v>1741.2528662728023</v>
      </c>
    </row>
    <row r="27" spans="1:23" x14ac:dyDescent="0.25">
      <c r="A27" s="8" t="s">
        <v>16</v>
      </c>
      <c r="B27" s="11">
        <f>B16*B6</f>
        <v>37.373275193798456</v>
      </c>
      <c r="C27" s="29"/>
      <c r="D27" s="8" t="s">
        <v>14</v>
      </c>
      <c r="E27" s="11">
        <f>E14*B7</f>
        <v>7.4271317829457351</v>
      </c>
      <c r="F27" s="58"/>
      <c r="G27" s="58"/>
      <c r="H27" s="52"/>
    </row>
    <row r="28" spans="1:23" x14ac:dyDescent="0.25">
      <c r="A28" s="8" t="s">
        <v>17</v>
      </c>
      <c r="B28" s="11">
        <f>B23+B24+B27</f>
        <v>72.913937209302333</v>
      </c>
      <c r="C28" s="29"/>
      <c r="D28" s="11" t="s">
        <v>22</v>
      </c>
      <c r="E28" s="11">
        <f>B5*E21</f>
        <v>28.113530232558141</v>
      </c>
    </row>
    <row r="29" spans="1:23" x14ac:dyDescent="0.25">
      <c r="A29" s="30" t="s">
        <v>18</v>
      </c>
      <c r="B29" s="31">
        <f>B28/B12</f>
        <v>1.8811795800000002</v>
      </c>
      <c r="C29" s="29"/>
      <c r="D29" s="11" t="s">
        <v>62</v>
      </c>
      <c r="E29" s="11">
        <f>E7*E22</f>
        <v>0.92968023255813959</v>
      </c>
    </row>
    <row r="30" spans="1:23" x14ac:dyDescent="0.25">
      <c r="A30" s="29" t="s">
        <v>67</v>
      </c>
      <c r="B30" s="35">
        <f>B4</f>
        <v>1.9161999999999999</v>
      </c>
      <c r="C30" s="29"/>
      <c r="D30" s="11" t="s">
        <v>63</v>
      </c>
      <c r="E30" s="11">
        <f>E8*E23</f>
        <v>1.1156162790697692</v>
      </c>
    </row>
    <row r="31" spans="1:23" x14ac:dyDescent="0.25">
      <c r="A31" s="36" t="s">
        <v>68</v>
      </c>
      <c r="B31" s="37">
        <f>B29-B30</f>
        <v>-3.5020419999999719E-2</v>
      </c>
      <c r="C31" s="29"/>
      <c r="D31" s="11" t="s">
        <v>23</v>
      </c>
      <c r="E31" s="11">
        <f>E29+E28+E30</f>
        <v>30.158826744186051</v>
      </c>
    </row>
    <row r="32" spans="1:23" x14ac:dyDescent="0.25">
      <c r="A32" s="29"/>
      <c r="B32" s="29"/>
      <c r="C32" s="29"/>
      <c r="D32" s="8" t="s">
        <v>16</v>
      </c>
      <c r="E32" s="11">
        <f>E24*B6</f>
        <v>37.373275193798456</v>
      </c>
    </row>
    <row r="33" spans="1:9" x14ac:dyDescent="0.25">
      <c r="A33" s="29"/>
      <c r="B33" s="29"/>
      <c r="D33" s="29" t="s">
        <v>24</v>
      </c>
      <c r="E33" s="35">
        <f>E27+E31+E32</f>
        <v>74.959233720930243</v>
      </c>
    </row>
    <row r="34" spans="1:9" x14ac:dyDescent="0.25">
      <c r="A34" s="29"/>
      <c r="B34" s="29"/>
      <c r="D34" s="30" t="s">
        <v>18</v>
      </c>
      <c r="E34" s="31">
        <f>E33/E14</f>
        <v>1.9339482300000004</v>
      </c>
    </row>
    <row r="35" spans="1:9" x14ac:dyDescent="0.25">
      <c r="A35" s="29"/>
      <c r="B35" s="29"/>
      <c r="D35" s="29" t="s">
        <v>67</v>
      </c>
      <c r="E35" s="35">
        <f>E4</f>
        <v>1.9161999999999999</v>
      </c>
      <c r="H35" s="46"/>
      <c r="I35" s="46"/>
    </row>
    <row r="36" spans="1:9" x14ac:dyDescent="0.25">
      <c r="A36" s="29"/>
      <c r="B36" s="29"/>
      <c r="D36" s="36" t="s">
        <v>68</v>
      </c>
      <c r="E36" s="37">
        <f>E34-E35</f>
        <v>1.7748230000000476E-2</v>
      </c>
      <c r="H36" s="46"/>
      <c r="I36" s="46"/>
    </row>
    <row r="37" spans="1:9" x14ac:dyDescent="0.25">
      <c r="A37" s="29"/>
      <c r="B37" s="29"/>
      <c r="D37" s="29"/>
    </row>
    <row r="38" spans="1:9" ht="15.6" x14ac:dyDescent="0.3">
      <c r="A38" s="29"/>
      <c r="B38" s="29"/>
      <c r="D38" s="39" t="s">
        <v>70</v>
      </c>
      <c r="E38" s="40">
        <f>E36-B31</f>
        <v>5.2768650000000195E-2</v>
      </c>
    </row>
    <row r="39" spans="1:9" x14ac:dyDescent="0.25">
      <c r="A39" s="29"/>
      <c r="B39" s="29"/>
      <c r="D39" s="29"/>
    </row>
    <row r="40" spans="1:9" x14ac:dyDescent="0.25">
      <c r="A40" s="29"/>
      <c r="B40" s="29"/>
      <c r="D40" s="29"/>
    </row>
    <row r="41" spans="1:9" x14ac:dyDescent="0.25">
      <c r="D41" s="29"/>
    </row>
    <row r="42" spans="1:9" x14ac:dyDescent="0.25">
      <c r="D42" s="29"/>
    </row>
  </sheetData>
  <sheetProtection selectLockedCells="1"/>
  <mergeCells count="10">
    <mergeCell ref="K17:W17"/>
    <mergeCell ref="K21:W21"/>
    <mergeCell ref="G12:I12"/>
    <mergeCell ref="F23:G24"/>
    <mergeCell ref="F26:G27"/>
    <mergeCell ref="H35:I36"/>
    <mergeCell ref="G2:I2"/>
    <mergeCell ref="G4:I4"/>
    <mergeCell ref="H26:H27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רן סולומון-Ran Solomon</dc:creator>
  <cp:lastModifiedBy>רן סולומון-Ran Solomon</cp:lastModifiedBy>
  <dcterms:created xsi:type="dcterms:W3CDTF">2016-01-07T15:13:22Z</dcterms:created>
  <dcterms:modified xsi:type="dcterms:W3CDTF">2020-07-23T06:50:18Z</dcterms:modified>
</cp:coreProperties>
</file>