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gnfil-my.sharepoint.com/personal/rans_ambar_co_il/Documents/Desktop/ענייני אתר אמבר ישן וחדש/קבצי תחשיב אקסל וחומר מקצועי לאתר/תחשיבי תמריצי שומן 01-21/"/>
    </mc:Choice>
  </mc:AlternateContent>
  <xr:revisionPtr revIDLastSave="104" documentId="8_{10ADB293-8EB5-4726-916D-8CDD3C5A6497}" xr6:coauthVersionLast="46" xr6:coauthVersionMax="46" xr10:uidLastSave="{90BF6C32-2D71-469E-ABAC-D7308F9542AC}"/>
  <workbookProtection workbookPassword="AEB0" lockStructure="1"/>
  <bookViews>
    <workbookView xWindow="-120" yWindow="-120" windowWidth="24240" windowHeight="131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38" i="1"/>
  <c r="S38" i="1" l="1"/>
  <c r="T39" i="1" s="1"/>
  <c r="T40" i="1" s="1"/>
  <c r="T41" i="1" l="1"/>
  <c r="F39" i="1"/>
  <c r="J23" i="1"/>
  <c r="F14" i="1" l="1"/>
  <c r="P6" i="1"/>
  <c r="P5" i="1"/>
  <c r="P4" i="1"/>
  <c r="F17" i="1"/>
  <c r="F18" i="1" l="1"/>
  <c r="P3" i="1"/>
  <c r="F8" i="1" s="1"/>
  <c r="P24" i="1"/>
  <c r="P20" i="1"/>
  <c r="F6" i="1" l="1"/>
  <c r="F9" i="1"/>
  <c r="F7" i="1"/>
  <c r="F15" i="1"/>
  <c r="F25" i="1" l="1"/>
  <c r="F35" i="1" s="1"/>
  <c r="F41" i="1" s="1"/>
  <c r="F19" i="1"/>
  <c r="F24" i="1" s="1"/>
  <c r="F20" i="1"/>
  <c r="F31" i="1" s="1"/>
  <c r="B27" i="1"/>
  <c r="F30" i="1" l="1"/>
  <c r="K14" i="1"/>
  <c r="J14" i="1"/>
  <c r="O20" i="1"/>
  <c r="U24" i="1"/>
  <c r="W24" i="1" s="1"/>
  <c r="T24" i="1"/>
  <c r="Y24" i="1" s="1"/>
  <c r="U20" i="1"/>
  <c r="W20" i="1" s="1"/>
  <c r="T20" i="1"/>
  <c r="Y20" i="1" s="1"/>
  <c r="Q20" i="1" l="1"/>
  <c r="V20" i="1" s="1"/>
  <c r="X20" i="1" s="1"/>
  <c r="Z20" i="1" s="1"/>
  <c r="J15" i="1" s="1"/>
  <c r="J16" i="1" s="1"/>
  <c r="K8" i="1" l="1"/>
  <c r="J8" i="1"/>
  <c r="O24" i="1"/>
  <c r="Q24" i="1" s="1"/>
  <c r="V24" i="1" s="1"/>
  <c r="X24" i="1" s="1"/>
  <c r="Z24" i="1" s="1"/>
  <c r="K15" i="1" s="1"/>
  <c r="K16" i="1" s="1"/>
  <c r="F10" i="1"/>
  <c r="F5" i="1"/>
  <c r="B8" i="1" l="1"/>
  <c r="F11" i="1" l="1"/>
  <c r="B15" i="1"/>
  <c r="B18" i="1" l="1"/>
  <c r="B22" i="1"/>
  <c r="F23" i="1" s="1"/>
  <c r="F32" i="1" s="1"/>
  <c r="B19" i="1"/>
  <c r="F33" i="1" l="1"/>
  <c r="K9" i="1"/>
  <c r="B23" i="1"/>
  <c r="B24" i="1"/>
  <c r="B25" i="1" l="1"/>
  <c r="J9" i="1" s="1"/>
  <c r="K17" i="1" l="1"/>
  <c r="K18" i="1" s="1"/>
  <c r="K19" i="1" s="1"/>
  <c r="K10" i="1"/>
  <c r="K11" i="1" s="1"/>
  <c r="J17" i="1"/>
  <c r="J18" i="1" s="1"/>
  <c r="J19" i="1" s="1"/>
  <c r="J10" i="1"/>
  <c r="J11" i="1" s="1"/>
  <c r="B26" i="1"/>
  <c r="B28" i="1" l="1"/>
  <c r="F34" i="1"/>
  <c r="F40" i="1" s="1"/>
  <c r="J12" i="1"/>
  <c r="J25" i="1" s="1"/>
  <c r="J20" i="1"/>
  <c r="J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רן סולומון-Ran Solomon</author>
  </authors>
  <commentList>
    <comment ref="J6" authorId="0" shapeId="0" xr:uid="{889A3EDC-FDD6-4D08-B5FE-D9D010D03A26}">
      <text>
        <r>
          <rPr>
            <b/>
            <sz val="11"/>
            <color indexed="81"/>
            <rFont val="Tahoma"/>
            <family val="2"/>
          </rPr>
          <t>רן סולומון-Ran Solomon:</t>
        </r>
        <r>
          <rPr>
            <sz val="11"/>
            <color indexed="81"/>
            <rFont val="Tahoma"/>
            <family val="2"/>
          </rPr>
          <t xml:space="preserve">
מחיר מנה בסיסי כולל תפעול, לפני השקעה בהגברת שומן החלב</t>
        </r>
      </text>
    </comment>
    <comment ref="K6" authorId="0" shapeId="0" xr:uid="{1E277416-EF64-4E58-828E-F1C04B881FAC}">
      <text>
        <r>
          <rPr>
            <b/>
            <sz val="11"/>
            <color indexed="81"/>
            <rFont val="Tahoma"/>
            <family val="2"/>
          </rPr>
          <t>רן סולומון-Ran Solomon:</t>
        </r>
        <r>
          <rPr>
            <sz val="11"/>
            <color indexed="81"/>
            <rFont val="Tahoma"/>
            <family val="2"/>
          </rPr>
          <t xml:space="preserve">
מחיר מנה כולל תפעול לאחר השקעה בהגברת שומן החלב</t>
        </r>
      </text>
    </comment>
    <comment ref="B16" authorId="0" shapeId="0" xr:uid="{D0266465-964F-48D1-9994-3B8400EA7080}">
      <text>
        <r>
          <rPr>
            <b/>
            <sz val="11"/>
            <color indexed="81"/>
            <rFont val="Tahoma"/>
            <family val="2"/>
          </rPr>
          <t>רן סולומון-Ran Solomon:</t>
        </r>
        <r>
          <rPr>
            <sz val="11"/>
            <color indexed="81"/>
            <rFont val="Tahoma"/>
            <family val="2"/>
          </rPr>
          <t xml:space="preserve">
הכניסו % שומן שנתי ממוצע שיש כרגע, אותו אתם מעוניינים להעלות בהמשך
</t>
        </r>
      </text>
    </comment>
    <comment ref="F16" authorId="0" shapeId="0" xr:uid="{8C4BEF4F-1C3E-4C22-8FED-271564D0B378}">
      <text>
        <r>
          <rPr>
            <b/>
            <sz val="11"/>
            <color indexed="81"/>
            <rFont val="Tahoma"/>
            <family val="2"/>
          </rPr>
          <t>רן סולומון-Ran Solomon:</t>
        </r>
        <r>
          <rPr>
            <sz val="11"/>
            <color indexed="81"/>
            <rFont val="Tahoma"/>
            <family val="2"/>
          </rPr>
          <t xml:space="preserve">
% שומן צפוי לאור תמריץ יצור שומן</t>
        </r>
      </text>
    </comment>
  </commentList>
</comments>
</file>

<file path=xl/sharedStrings.xml><?xml version="1.0" encoding="utf-8"?>
<sst xmlns="http://schemas.openxmlformats.org/spreadsheetml/2006/main" count="136" uniqueCount="93">
  <si>
    <t>פרמטר</t>
  </si>
  <si>
    <t>תקבול מק"ג חלבון ₪</t>
  </si>
  <si>
    <t>תקבול מק"ג שומן ₪</t>
  </si>
  <si>
    <t>תקבול מליטר נוזלים ₪</t>
  </si>
  <si>
    <t xml:space="preserve">ערך </t>
  </si>
  <si>
    <t>איפיון החלב המיוצר במשק</t>
  </si>
  <si>
    <t xml:space="preserve">מחירים: </t>
  </si>
  <si>
    <t>מחיר מטרה (₪/ליטר)</t>
  </si>
  <si>
    <t>ק"ג חלב/נחלבת</t>
  </si>
  <si>
    <t>% שומן משווק</t>
  </si>
  <si>
    <t>ליטר חלב/נחלבת</t>
  </si>
  <si>
    <t>חלבון משווק %</t>
  </si>
  <si>
    <t>כמות חלבון משווק ק"ג</t>
  </si>
  <si>
    <t>כמות שומן משווק ק"ג</t>
  </si>
  <si>
    <t>פידיון מנוזלים ₪</t>
  </si>
  <si>
    <t>פידיון לליטר ₪</t>
  </si>
  <si>
    <t>בסיס</t>
  </si>
  <si>
    <t xml:space="preserve"> חדש - % שומן משווק</t>
  </si>
  <si>
    <t>מחיר מנה 20 ק"ג</t>
  </si>
  <si>
    <t>עלות הזנה/יום</t>
  </si>
  <si>
    <t>הכנסות מחלב</t>
  </si>
  <si>
    <t>יתרה/יום</t>
  </si>
  <si>
    <t>יתרה/ליטר</t>
  </si>
  <si>
    <t>תנובת חלב (ק"ג) Milk P</t>
  </si>
  <si>
    <t xml:space="preserve"> F % שומן</t>
  </si>
  <si>
    <t>4% FCM</t>
  </si>
  <si>
    <t>משקל גוף (ק"ג) BW</t>
  </si>
  <si>
    <t>ימים בחליבה DIM</t>
  </si>
  <si>
    <t>שבועות בחליבה</t>
  </si>
  <si>
    <t>BW^0.75</t>
  </si>
  <si>
    <t>A</t>
  </si>
  <si>
    <t>B</t>
  </si>
  <si>
    <t>C</t>
  </si>
  <si>
    <t>D</t>
  </si>
  <si>
    <t>צריכת מזון DMI</t>
  </si>
  <si>
    <r>
      <t xml:space="preserve">חישוב צריכת מזון על פי ה-NRC 2001 (מבוסס על נתוני היצור ונתוני הפרה הנ"ל) - </t>
    </r>
    <r>
      <rPr>
        <b/>
        <sz val="11"/>
        <color rgb="FFFF0000"/>
        <rFont val="Arial"/>
        <family val="2"/>
      </rPr>
      <t>בסיס</t>
    </r>
  </si>
  <si>
    <t>נתוני עזר לצריכת מזון לפני ואחרי השינוי</t>
  </si>
  <si>
    <t>מחיר ק"ג ח"י</t>
  </si>
  <si>
    <t>צריכת מזון NRC</t>
  </si>
  <si>
    <t>חישוב מחודש עם תיקוני צריכת מזון</t>
  </si>
  <si>
    <t>חישוב בהנחה של צריכת מזון זהה</t>
  </si>
  <si>
    <t>הכנסה מחלב</t>
  </si>
  <si>
    <t>מקדם תאבון</t>
  </si>
  <si>
    <t>אמבר</t>
  </si>
  <si>
    <t>מחיר מטרה</t>
  </si>
  <si>
    <t>רן סולומון</t>
  </si>
  <si>
    <t>הכניסו ערכים בתאים הצבועים תכלת</t>
  </si>
  <si>
    <t>ללא תמריץ</t>
  </si>
  <si>
    <t>מחירי שומן/תמריץ</t>
  </si>
  <si>
    <t>תמריץ 1</t>
  </si>
  <si>
    <t>תמריץ 2</t>
  </si>
  <si>
    <t>תמריץ 3</t>
  </si>
  <si>
    <t>תקבול מק"ג שומן רגיל ללא תמריץ ₪</t>
  </si>
  <si>
    <t>איפיון קטגורית תמריץ</t>
  </si>
  <si>
    <t>פדיון לליטר, ₪</t>
  </si>
  <si>
    <t>קטגוריה</t>
  </si>
  <si>
    <t>עד</t>
  </si>
  <si>
    <t>מ</t>
  </si>
  <si>
    <t>תמריצים</t>
  </si>
  <si>
    <t>תוספת תקבול מק"ג שומן תמריץ 1 ₪</t>
  </si>
  <si>
    <t>תוספת תקבול מק"ג שומן תמריץ 2 ₪</t>
  </si>
  <si>
    <t>תוספת תקבול מק"ג שומן תמריץ 3 ₪</t>
  </si>
  <si>
    <t>תוספת פדיון משומן בגין תמריץ בלבד, ₪/ליטר</t>
  </si>
  <si>
    <t>תוספת ריכוז שומן, %</t>
  </si>
  <si>
    <r>
      <t xml:space="preserve">תוספת הכנסה בגין תמריץ </t>
    </r>
    <r>
      <rPr>
        <b/>
        <sz val="11"/>
        <color theme="1"/>
        <rFont val="Arial"/>
        <family val="2"/>
        <scheme val="minor"/>
      </rPr>
      <t xml:space="preserve">בלבד </t>
    </r>
    <r>
      <rPr>
        <sz val="11"/>
        <color theme="1"/>
        <rFont val="Arial"/>
        <family val="2"/>
        <charset val="177"/>
        <scheme val="minor"/>
      </rPr>
      <t>על כלל החלב שיוצר ₪</t>
    </r>
  </si>
  <si>
    <r>
      <t xml:space="preserve">חישוב צריכת מזון על פי ה-NRC 2001 (מבוסס על נתוני היצור ונתוני הפרה הנ"ל) - </t>
    </r>
    <r>
      <rPr>
        <b/>
        <sz val="11"/>
        <color rgb="FFFF0000"/>
        <rFont val="Arial"/>
        <family val="2"/>
      </rPr>
      <t>תמריץ</t>
    </r>
  </si>
  <si>
    <t>כמות חלב משווקת</t>
  </si>
  <si>
    <t>סיכום הכנסה מחלב:</t>
  </si>
  <si>
    <t>יצור חלב שנתי, ליטר</t>
  </si>
  <si>
    <t xml:space="preserve"> כמות חלב משווקת, ל'</t>
  </si>
  <si>
    <t>יתרת הכנסה - צריכת מזון קבועה</t>
  </si>
  <si>
    <t>יתרת הכנסה - צריכת מזון משתנה לפי NRC</t>
  </si>
  <si>
    <t>חישובים: יתרות לליטר</t>
  </si>
  <si>
    <t>לאחר תמריץ</t>
  </si>
  <si>
    <t>חישוב תוספת תוספת הכנסה שנתית משומן בגין תמריצים עבור יצור מוגבר של שומן (2021, הודעת מועצת החלב)</t>
  </si>
  <si>
    <t>תוספת עלות</t>
  </si>
  <si>
    <t>סה"כ תוספת פדיון משומן מתמריצים ₪/יום</t>
  </si>
  <si>
    <t>פדיון משומן מיוצר מחיר רגיל ₪/יום</t>
  </si>
  <si>
    <t>תוספת פדיון לפי תמריץ 1 ₪/יום</t>
  </si>
  <si>
    <t>תוספת פדיון לפי תמריץ 2 ₪/יום</t>
  </si>
  <si>
    <t>תוספת פדיון לפי תמריץ 3 ₪/יום</t>
  </si>
  <si>
    <t>סה"כ פדיון משומן, ₪/יום</t>
  </si>
  <si>
    <t>פידיון מחלבון ₪/יום</t>
  </si>
  <si>
    <t>סה"כ פדיון ₪/יום</t>
  </si>
  <si>
    <t>פידיון מנוזלים ₪/יום</t>
  </si>
  <si>
    <t>פידיון משומן ₪/יום</t>
  </si>
  <si>
    <t>סה"כ פידיון ₪/יום</t>
  </si>
  <si>
    <t>הפרש פדיון/מחיר מטרה ₪/יום</t>
  </si>
  <si>
    <t>הפרש (לעומת מצב 0) פדיון לליטר בגין שומן מיוצר+תמריץ, ₪/ליטר</t>
  </si>
  <si>
    <t>תוספת הכנסה בגין כלל יצור השומן על כלל החלב שיוצר ₪</t>
  </si>
  <si>
    <t>1 - פדיון מחלב כיום - בסיס לבדיקה</t>
  </si>
  <si>
    <t>2 - תוספת פדיון מחלב עתידי לאחר הגברת יצור שומן</t>
  </si>
  <si>
    <t>3 - בחינת כדאיות לאחר השקעה במזון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</si>
</sst>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_ &quot;₪&quot;\ * #,##0.000_ ;_ &quot;₪&quot;\ * \-#,##0.000_ ;_ &quot;₪&quot;\ * &quot;-&quot;??_ ;_ @_ "/>
    <numFmt numFmtId="168" formatCode="_ &quot;₪&quot;\ * #,##0.0000_ ;_ &quot;₪&quot;\ * \-#,##0.0000_ ;_ &quot;₪&quot;\ * &quot;-&quot;??_ ;_ @_ "/>
    <numFmt numFmtId="169" formatCode="_ &quot;₪&quot;\ * #,##0_ ;_ &quot;₪&quot;\ * \-#,##0_ ;_ &quot;₪&quot;\ * &quot;-&quot;??_ ;_ @_ "/>
    <numFmt numFmtId="170" formatCode="_ * #,##0.000_ ;_ * \-#,##0.000_ ;_ * &quot;-&quot;??_ ;_ @_ "/>
    <numFmt numFmtId="171" formatCode="_ * #,##0_ ;_ * \-#,##0_ ;_ * &quot;-&quot;??_ ;_ @_ "/>
    <numFmt numFmtId="172" formatCode="_ * #,##0.0000_ ;_ * \-#,##0.0000_ ;_ * &quot;-&quot;??_ ;_ @_ "/>
    <numFmt numFmtId="173" formatCode="0.00000"/>
  </numFmts>
  <fonts count="27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indexed="8"/>
      <name val="Arial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  <scheme val="minor"/>
    </font>
    <font>
      <sz val="18"/>
      <color theme="1"/>
      <name val="Arial"/>
      <family val="2"/>
      <charset val="177"/>
      <scheme val="minor"/>
    </font>
    <font>
      <b/>
      <sz val="11"/>
      <color rgb="FF002060"/>
      <name val="Arial"/>
      <family val="2"/>
      <scheme val="minor"/>
    </font>
    <font>
      <sz val="8"/>
      <name val="Arial"/>
      <family val="2"/>
      <charset val="177"/>
      <scheme val="minor"/>
    </font>
    <font>
      <sz val="12"/>
      <name val="Arial"/>
      <family val="2"/>
      <scheme val="minor"/>
    </font>
    <font>
      <b/>
      <sz val="18"/>
      <color rgb="FF002060"/>
      <name val="Arial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theme="0"/>
      <name val="Arial"/>
      <family val="2"/>
      <charset val="177"/>
      <scheme val="minor"/>
    </font>
    <font>
      <u val="singleAccounting"/>
      <sz val="11"/>
      <color theme="0"/>
      <name val="Arial"/>
      <family val="2"/>
      <charset val="177"/>
      <scheme val="minor"/>
    </font>
    <font>
      <sz val="16"/>
      <color theme="1"/>
      <name val="Arial"/>
      <family val="2"/>
      <charset val="177"/>
      <scheme val="minor"/>
    </font>
    <font>
      <b/>
      <sz val="20"/>
      <color rgb="FFFF0000"/>
      <name val="Arial"/>
      <family val="2"/>
      <scheme val="minor"/>
    </font>
    <font>
      <b/>
      <sz val="2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9" borderId="0" applyNumberFormat="0" applyBorder="0" applyAlignment="0" applyProtection="0"/>
  </cellStyleXfs>
  <cellXfs count="120">
    <xf numFmtId="0" fontId="0" fillId="0" borderId="0" xfId="0"/>
    <xf numFmtId="164" fontId="4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center"/>
    </xf>
    <xf numFmtId="44" fontId="4" fillId="0" borderId="0" xfId="1" applyFont="1" applyFill="1" applyAlignment="1" applyProtection="1">
      <alignment horizontal="center"/>
    </xf>
    <xf numFmtId="44" fontId="4" fillId="0" borderId="0" xfId="0" applyNumberFormat="1" applyFont="1" applyFill="1" applyAlignment="1" applyProtection="1">
      <alignment horizontal="center"/>
    </xf>
    <xf numFmtId="2" fontId="4" fillId="0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0" fontId="4" fillId="2" borderId="0" xfId="0" applyFont="1" applyFill="1" applyProtection="1"/>
    <xf numFmtId="0" fontId="11" fillId="2" borderId="0" xfId="0" applyFont="1" applyFill="1" applyProtection="1"/>
    <xf numFmtId="167" fontId="4" fillId="0" borderId="0" xfId="0" applyNumberFormat="1" applyFont="1" applyFill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 wrapText="1"/>
    </xf>
    <xf numFmtId="0" fontId="9" fillId="4" borderId="4" xfId="0" applyFont="1" applyFill="1" applyBorder="1" applyAlignment="1" applyProtection="1">
      <alignment horizontal="center"/>
    </xf>
    <xf numFmtId="1" fontId="9" fillId="2" borderId="4" xfId="0" applyNumberFormat="1" applyFont="1" applyFill="1" applyBorder="1" applyAlignment="1" applyProtection="1">
      <alignment horizontal="center"/>
    </xf>
    <xf numFmtId="166" fontId="9" fillId="4" borderId="4" xfId="0" applyNumberFormat="1" applyFont="1" applyFill="1" applyBorder="1" applyAlignment="1" applyProtection="1">
      <alignment horizontal="center" wrapText="1"/>
    </xf>
    <xf numFmtId="2" fontId="9" fillId="4" borderId="4" xfId="0" applyNumberFormat="1" applyFont="1" applyFill="1" applyBorder="1" applyAlignment="1" applyProtection="1">
      <alignment horizontal="center"/>
    </xf>
    <xf numFmtId="2" fontId="9" fillId="4" borderId="4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center"/>
    </xf>
    <xf numFmtId="0" fontId="14" fillId="3" borderId="4" xfId="0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" fontId="4" fillId="3" borderId="0" xfId="0" applyNumberFormat="1" applyFont="1" applyFill="1" applyAlignment="1" applyProtection="1">
      <alignment horizontal="center"/>
      <protection locked="0"/>
    </xf>
    <xf numFmtId="167" fontId="5" fillId="2" borderId="0" xfId="1" applyNumberFormat="1" applyFont="1" applyFill="1" applyAlignment="1" applyProtection="1">
      <alignment horizontal="center"/>
    </xf>
    <xf numFmtId="169" fontId="13" fillId="2" borderId="0" xfId="0" applyNumberFormat="1" applyFont="1" applyFill="1" applyAlignment="1" applyProtection="1">
      <alignment horizontal="center"/>
    </xf>
    <xf numFmtId="168" fontId="16" fillId="2" borderId="0" xfId="0" applyNumberFormat="1" applyFont="1" applyFill="1" applyAlignment="1" applyProtection="1">
      <alignment horizontal="center"/>
    </xf>
    <xf numFmtId="14" fontId="3" fillId="2" borderId="0" xfId="0" applyNumberFormat="1" applyFont="1" applyFill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/>
    </xf>
    <xf numFmtId="170" fontId="4" fillId="0" borderId="0" xfId="2" applyNumberFormat="1" applyFont="1" applyFill="1" applyAlignment="1" applyProtection="1">
      <alignment horizontal="center"/>
    </xf>
    <xf numFmtId="170" fontId="4" fillId="0" borderId="4" xfId="2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43" fontId="4" fillId="0" borderId="0" xfId="2" applyFont="1" applyFill="1" applyAlignment="1" applyProtection="1"/>
    <xf numFmtId="170" fontId="4" fillId="0" borderId="0" xfId="2" applyNumberFormat="1" applyFont="1" applyFill="1" applyAlignment="1" applyProtection="1"/>
    <xf numFmtId="172" fontId="4" fillId="0" borderId="0" xfId="2" applyNumberFormat="1" applyFont="1" applyFill="1" applyAlignment="1" applyProtection="1">
      <alignment horizontal="center"/>
    </xf>
    <xf numFmtId="172" fontId="0" fillId="0" borderId="0" xfId="2" applyNumberFormat="1" applyFont="1" applyAlignment="1" applyProtection="1"/>
    <xf numFmtId="43" fontId="0" fillId="0" borderId="0" xfId="0" applyNumberFormat="1" applyProtection="1"/>
    <xf numFmtId="43" fontId="0" fillId="0" borderId="0" xfId="0" applyNumberFormat="1" applyAlignment="1" applyProtection="1">
      <alignment horizontal="center"/>
    </xf>
    <xf numFmtId="171" fontId="0" fillId="0" borderId="0" xfId="0" applyNumberFormat="1" applyProtection="1"/>
    <xf numFmtId="3" fontId="0" fillId="0" borderId="0" xfId="0" applyNumberFormat="1" applyProtection="1"/>
    <xf numFmtId="164" fontId="0" fillId="0" borderId="0" xfId="0" applyNumberFormat="1" applyProtection="1"/>
    <xf numFmtId="0" fontId="0" fillId="0" borderId="0" xfId="0" applyFill="1" applyProtection="1"/>
    <xf numFmtId="171" fontId="4" fillId="0" borderId="0" xfId="2" applyNumberFormat="1" applyFont="1" applyFill="1" applyProtection="1"/>
    <xf numFmtId="171" fontId="4" fillId="0" borderId="0" xfId="0" applyNumberFormat="1" applyFont="1" applyFill="1" applyProtection="1"/>
    <xf numFmtId="10" fontId="4" fillId="0" borderId="0" xfId="3" applyNumberFormat="1" applyFont="1" applyFill="1" applyBorder="1" applyAlignment="1" applyProtection="1">
      <alignment horizontal="center"/>
    </xf>
    <xf numFmtId="10" fontId="4" fillId="0" borderId="0" xfId="3" applyNumberFormat="1" applyFont="1" applyFill="1" applyProtection="1"/>
    <xf numFmtId="172" fontId="18" fillId="0" borderId="0" xfId="2" applyNumberFormat="1" applyFont="1" applyFill="1" applyAlignment="1" applyProtection="1">
      <alignment horizontal="center"/>
    </xf>
    <xf numFmtId="171" fontId="0" fillId="0" borderId="0" xfId="0" applyNumberFormat="1" applyFill="1" applyProtection="1"/>
    <xf numFmtId="0" fontId="13" fillId="7" borderId="0" xfId="0" applyFont="1" applyFill="1" applyAlignment="1" applyProtection="1">
      <alignment horizontal="center"/>
    </xf>
    <xf numFmtId="171" fontId="13" fillId="0" borderId="0" xfId="0" applyNumberFormat="1" applyFont="1" applyProtection="1"/>
    <xf numFmtId="0" fontId="12" fillId="2" borderId="0" xfId="0" applyFont="1" applyFill="1" applyAlignment="1" applyProtection="1">
      <alignment horizontal="center"/>
    </xf>
    <xf numFmtId="43" fontId="4" fillId="0" borderId="0" xfId="0" applyNumberFormat="1" applyFont="1" applyFill="1" applyAlignment="1" applyProtection="1">
      <alignment horizontal="center"/>
    </xf>
    <xf numFmtId="164" fontId="12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  <protection locked="0"/>
    </xf>
    <xf numFmtId="0" fontId="16" fillId="8" borderId="6" xfId="0" applyFont="1" applyFill="1" applyBorder="1" applyAlignment="1">
      <alignment horizontal="center" wrapText="1"/>
    </xf>
    <xf numFmtId="14" fontId="3" fillId="8" borderId="0" xfId="0" applyNumberFormat="1" applyFont="1" applyFill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165" fontId="5" fillId="8" borderId="0" xfId="0" applyNumberFormat="1" applyFont="1" applyFill="1" applyAlignment="1" applyProtection="1">
      <alignment horizontal="center"/>
    </xf>
    <xf numFmtId="0" fontId="4" fillId="8" borderId="0" xfId="0" applyFont="1" applyFill="1" applyAlignment="1" applyProtection="1">
      <alignment horizontal="center" wrapText="1"/>
    </xf>
    <xf numFmtId="165" fontId="4" fillId="8" borderId="0" xfId="0" applyNumberFormat="1" applyFont="1" applyFill="1" applyAlignment="1" applyProtection="1">
      <alignment horizontal="center" wrapText="1"/>
    </xf>
    <xf numFmtId="165" fontId="4" fillId="8" borderId="0" xfId="0" applyNumberFormat="1" applyFont="1" applyFill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2" fontId="4" fillId="8" borderId="0" xfId="0" applyNumberFormat="1" applyFont="1" applyFill="1" applyAlignment="1" applyProtection="1">
      <alignment horizontal="center"/>
    </xf>
    <xf numFmtId="164" fontId="4" fillId="8" borderId="0" xfId="0" applyNumberFormat="1" applyFont="1" applyFill="1" applyAlignment="1" applyProtection="1">
      <alignment horizontal="center"/>
    </xf>
    <xf numFmtId="43" fontId="4" fillId="8" borderId="0" xfId="0" applyNumberFormat="1" applyFont="1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43" fontId="0" fillId="8" borderId="0" xfId="0" applyNumberFormat="1" applyFill="1" applyAlignment="1" applyProtection="1">
      <alignment horizontal="center"/>
    </xf>
    <xf numFmtId="0" fontId="0" fillId="8" borderId="0" xfId="0" applyFill="1" applyProtection="1"/>
    <xf numFmtId="0" fontId="4" fillId="8" borderId="0" xfId="0" applyFont="1" applyFill="1" applyProtection="1"/>
    <xf numFmtId="0" fontId="13" fillId="8" borderId="0" xfId="0" applyFont="1" applyFill="1" applyAlignment="1" applyProtection="1">
      <alignment horizontal="center" wrapText="1"/>
    </xf>
    <xf numFmtId="3" fontId="12" fillId="0" borderId="0" xfId="0" applyNumberFormat="1" applyFont="1" applyFill="1" applyAlignment="1" applyProtection="1">
      <alignment horizontal="center"/>
    </xf>
    <xf numFmtId="171" fontId="12" fillId="3" borderId="0" xfId="2" applyNumberFormat="1" applyFont="1" applyFill="1" applyAlignment="1" applyProtection="1">
      <alignment horizontal="center"/>
      <protection locked="0"/>
    </xf>
    <xf numFmtId="172" fontId="12" fillId="3" borderId="0" xfId="2" applyNumberFormat="1" applyFont="1" applyFill="1" applyAlignment="1" applyProtection="1">
      <alignment horizontal="center"/>
      <protection locked="0"/>
    </xf>
    <xf numFmtId="165" fontId="12" fillId="3" borderId="0" xfId="0" applyNumberFormat="1" applyFont="1" applyFill="1" applyAlignment="1" applyProtection="1">
      <alignment horizontal="center"/>
      <protection locked="0"/>
    </xf>
    <xf numFmtId="44" fontId="12" fillId="3" borderId="0" xfId="1" applyFont="1" applyFill="1" applyAlignment="1" applyProtection="1">
      <alignment horizontal="center"/>
      <protection locked="0"/>
    </xf>
    <xf numFmtId="44" fontId="12" fillId="0" borderId="0" xfId="1" applyFont="1" applyFill="1" applyAlignment="1" applyProtection="1">
      <alignment horizontal="center"/>
    </xf>
    <xf numFmtId="0" fontId="15" fillId="0" borderId="0" xfId="0" applyFont="1" applyAlignment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172" fontId="18" fillId="2" borderId="0" xfId="2" applyNumberFormat="1" applyFont="1" applyFill="1" applyAlignment="1" applyProtection="1">
      <alignment horizontal="center"/>
    </xf>
    <xf numFmtId="43" fontId="4" fillId="0" borderId="4" xfId="0" applyNumberFormat="1" applyFont="1" applyFill="1" applyBorder="1" applyAlignment="1" applyProtection="1">
      <alignment horizontal="center"/>
    </xf>
    <xf numFmtId="43" fontId="4" fillId="0" borderId="4" xfId="2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wrapText="1"/>
    </xf>
    <xf numFmtId="43" fontId="4" fillId="2" borderId="4" xfId="2" applyFont="1" applyFill="1" applyBorder="1" applyAlignment="1" applyProtection="1">
      <alignment horizontal="center"/>
    </xf>
    <xf numFmtId="172" fontId="23" fillId="0" borderId="0" xfId="4" applyNumberFormat="1" applyFont="1" applyFill="1" applyAlignment="1" applyProtection="1">
      <alignment horizontal="center"/>
    </xf>
    <xf numFmtId="170" fontId="13" fillId="0" borderId="0" xfId="0" applyNumberFormat="1" applyFont="1" applyProtection="1"/>
    <xf numFmtId="170" fontId="13" fillId="0" borderId="0" xfId="2" applyNumberFormat="1" applyFont="1" applyFill="1" applyAlignment="1" applyProtection="1"/>
    <xf numFmtId="173" fontId="0" fillId="2" borderId="0" xfId="0" applyNumberFormat="1" applyFill="1" applyAlignment="1" applyProtection="1">
      <alignment horizontal="center"/>
    </xf>
    <xf numFmtId="0" fontId="13" fillId="0" borderId="0" xfId="0" applyFont="1" applyFill="1" applyProtection="1"/>
    <xf numFmtId="164" fontId="0" fillId="0" borderId="0" xfId="0" applyNumberFormat="1" applyFill="1" applyProtection="1"/>
    <xf numFmtId="165" fontId="0" fillId="0" borderId="0" xfId="0" applyNumberFormat="1" applyFill="1" applyProtection="1"/>
    <xf numFmtId="0" fontId="24" fillId="0" borderId="0" xfId="0" applyFont="1" applyFill="1" applyProtection="1"/>
    <xf numFmtId="0" fontId="25" fillId="0" borderId="0" xfId="0" applyFont="1" applyAlignment="1" applyProtection="1">
      <alignment horizontal="center" wrapText="1"/>
    </xf>
    <xf numFmtId="0" fontId="26" fillId="0" borderId="0" xfId="0" applyFont="1" applyAlignment="1">
      <alignment horizontal="center" wrapText="1"/>
    </xf>
    <xf numFmtId="0" fontId="6" fillId="5" borderId="1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9" fontId="16" fillId="2" borderId="0" xfId="0" applyNumberFormat="1" applyFont="1" applyFill="1" applyAlignment="1" applyProtection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6" borderId="5" xfId="0" applyFont="1" applyFill="1" applyBorder="1" applyAlignment="1" applyProtection="1">
      <alignment horizontal="center" wrapText="1"/>
    </xf>
    <xf numFmtId="0" fontId="16" fillId="6" borderId="6" xfId="0" applyFont="1" applyFill="1" applyBorder="1" applyAlignment="1">
      <alignment horizontal="center" wrapText="1"/>
    </xf>
    <xf numFmtId="0" fontId="16" fillId="6" borderId="7" xfId="0" applyFont="1" applyFill="1" applyBorder="1" applyAlignment="1">
      <alignment horizontal="center" wrapText="1"/>
    </xf>
  </cellXfs>
  <cellStyles count="5">
    <cellStyle name="Comma" xfId="2" builtinId="3"/>
    <cellStyle name="Currency" xfId="1" builtinId="4"/>
    <cellStyle name="Normal" xfId="0" builtinId="0"/>
    <cellStyle name="Percent" xfId="3" builtinId="5"/>
    <cellStyle name="הדגשה1" xfId="4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248716</xdr:colOff>
      <xdr:row>6</xdr:row>
      <xdr:rowOff>129549</xdr:rowOff>
    </xdr:from>
    <xdr:to>
      <xdr:col>2</xdr:col>
      <xdr:colOff>1027648</xdr:colOff>
      <xdr:row>12</xdr:row>
      <xdr:rowOff>56125</xdr:rowOff>
    </xdr:to>
    <xdr:pic>
      <xdr:nvPicPr>
        <xdr:cNvPr id="3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7277395" y="1777788"/>
          <a:ext cx="778932" cy="1036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"/>
  <sheetViews>
    <sheetView rightToLeft="1" tabSelected="1" topLeftCell="E9" zoomScale="115" zoomScaleNormal="115" workbookViewId="0">
      <selection activeCell="K7" sqref="K7"/>
    </sheetView>
  </sheetViews>
  <sheetFormatPr defaultColWidth="8.75" defaultRowHeight="14.25" x14ac:dyDescent="0.2"/>
  <cols>
    <col min="1" max="1" width="21.5" style="4" customWidth="1"/>
    <col min="2" max="2" width="12.375" style="4" customWidth="1"/>
    <col min="3" max="3" width="18.375" style="4" customWidth="1"/>
    <col min="4" max="4" width="4.375" style="4" customWidth="1"/>
    <col min="5" max="5" width="47" style="4" customWidth="1"/>
    <col min="6" max="6" width="12.125" style="4" customWidth="1"/>
    <col min="7" max="7" width="8.5" style="4" customWidth="1"/>
    <col min="8" max="8" width="4.625" style="4" customWidth="1"/>
    <col min="9" max="9" width="27.125" style="26" customWidth="1"/>
    <col min="10" max="10" width="14.375" style="26" customWidth="1"/>
    <col min="11" max="11" width="13.375" style="26" customWidth="1"/>
    <col min="12" max="12" width="2.75" style="3" customWidth="1"/>
    <col min="13" max="13" width="1.625" style="3" customWidth="1"/>
    <col min="14" max="14" width="2" style="4" hidden="1" customWidth="1"/>
    <col min="15" max="15" width="10.875" style="4" hidden="1" customWidth="1"/>
    <col min="16" max="16" width="13.875" style="4" hidden="1" customWidth="1"/>
    <col min="17" max="17" width="7.375" style="4" hidden="1" customWidth="1"/>
    <col min="18" max="18" width="14.875" style="4" hidden="1" customWidth="1"/>
    <col min="19" max="19" width="13" style="4" hidden="1" customWidth="1"/>
    <col min="20" max="20" width="11.375" style="4" hidden="1" customWidth="1"/>
    <col min="21" max="21" width="15.25" style="4" hidden="1" customWidth="1"/>
    <col min="22" max="22" width="6.875" style="4" hidden="1" customWidth="1"/>
    <col min="23" max="24" width="6.625" style="4" hidden="1" customWidth="1"/>
    <col min="25" max="25" width="14.75" style="4" hidden="1" customWidth="1"/>
    <col min="26" max="26" width="1" style="4" hidden="1" customWidth="1"/>
    <col min="27" max="28" width="6.625" style="4" hidden="1" customWidth="1"/>
    <col min="29" max="37" width="0" style="4" hidden="1" customWidth="1"/>
    <col min="38" max="38" width="1.375" style="4" customWidth="1"/>
    <col min="39" max="16384" width="8.75" style="4"/>
  </cols>
  <sheetData>
    <row r="1" spans="1:26" ht="26.25" customHeight="1" thickBot="1" x14ac:dyDescent="0.45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90"/>
    </row>
    <row r="2" spans="1:26" ht="24.75" customHeight="1" thickBot="1" x14ac:dyDescent="0.4">
      <c r="A2" s="117" t="s">
        <v>90</v>
      </c>
      <c r="B2" s="118"/>
      <c r="C2" s="119"/>
      <c r="D2" s="68"/>
      <c r="E2" s="117" t="s">
        <v>91</v>
      </c>
      <c r="F2" s="118"/>
      <c r="G2" s="119"/>
      <c r="H2" s="68"/>
      <c r="I2" s="117" t="s">
        <v>92</v>
      </c>
      <c r="J2" s="118"/>
      <c r="K2" s="119"/>
      <c r="L2" s="82"/>
      <c r="M2" s="82"/>
      <c r="O2" s="40" t="s">
        <v>0</v>
      </c>
      <c r="P2" s="91" t="s">
        <v>48</v>
      </c>
      <c r="Q2" s="40" t="s">
        <v>55</v>
      </c>
      <c r="R2" s="40" t="s">
        <v>57</v>
      </c>
      <c r="S2" s="40" t="s">
        <v>56</v>
      </c>
    </row>
    <row r="3" spans="1:26" s="6" customFormat="1" ht="18" x14ac:dyDescent="0.25">
      <c r="A3" s="5" t="s">
        <v>0</v>
      </c>
      <c r="B3" s="5" t="s">
        <v>4</v>
      </c>
      <c r="C3" s="37">
        <v>44241</v>
      </c>
      <c r="D3" s="69"/>
      <c r="E3" s="5" t="s">
        <v>0</v>
      </c>
      <c r="F3" s="9" t="s">
        <v>4</v>
      </c>
      <c r="H3" s="82"/>
      <c r="I3" s="113" t="s">
        <v>72</v>
      </c>
      <c r="J3" s="114"/>
      <c r="K3" s="114"/>
      <c r="L3" s="82"/>
      <c r="M3" s="82"/>
      <c r="O3" s="40" t="s">
        <v>47</v>
      </c>
      <c r="P3" s="40">
        <f>B6</f>
        <v>20.840900000000001</v>
      </c>
      <c r="Q3" s="40">
        <v>0</v>
      </c>
      <c r="R3" s="42">
        <v>0</v>
      </c>
      <c r="S3" s="42">
        <v>3.95</v>
      </c>
      <c r="Y3" s="7"/>
    </row>
    <row r="4" spans="1:26" s="6" customFormat="1" ht="18" x14ac:dyDescent="0.25">
      <c r="A4" s="8" t="s">
        <v>6</v>
      </c>
      <c r="B4" s="9" t="s">
        <v>16</v>
      </c>
      <c r="C4" s="27" t="s">
        <v>45</v>
      </c>
      <c r="D4" s="70"/>
      <c r="E4" s="8" t="s">
        <v>6</v>
      </c>
      <c r="F4" s="9" t="s">
        <v>58</v>
      </c>
      <c r="H4" s="82"/>
      <c r="I4" s="5" t="s">
        <v>0</v>
      </c>
      <c r="J4" s="5" t="s">
        <v>16</v>
      </c>
      <c r="K4" s="5" t="s">
        <v>73</v>
      </c>
      <c r="L4" s="82"/>
      <c r="M4" s="82"/>
      <c r="O4" s="40" t="s">
        <v>49</v>
      </c>
      <c r="P4" s="40">
        <f>3.8</f>
        <v>3.8</v>
      </c>
      <c r="Q4" s="40">
        <v>1</v>
      </c>
      <c r="R4" s="42">
        <v>3.95</v>
      </c>
      <c r="S4" s="42">
        <v>4.05</v>
      </c>
      <c r="Y4" s="7"/>
    </row>
    <row r="5" spans="1:26" s="6" customFormat="1" ht="15" x14ac:dyDescent="0.25">
      <c r="A5" s="7" t="s">
        <v>7</v>
      </c>
      <c r="B5" s="87">
        <v>1.9612000000000001</v>
      </c>
      <c r="C5" s="30" t="s">
        <v>43</v>
      </c>
      <c r="D5" s="71"/>
      <c r="E5" s="7" t="s">
        <v>7</v>
      </c>
      <c r="F5" s="86">
        <f>B5</f>
        <v>1.9612000000000001</v>
      </c>
      <c r="G5" s="7"/>
      <c r="H5" s="75"/>
      <c r="I5" s="110" t="s">
        <v>40</v>
      </c>
      <c r="J5" s="111"/>
      <c r="K5" s="111"/>
      <c r="L5" s="82"/>
      <c r="M5" s="82"/>
      <c r="O5" s="40" t="s">
        <v>50</v>
      </c>
      <c r="P5" s="40">
        <f>7.6</f>
        <v>7.6</v>
      </c>
      <c r="Q5" s="40">
        <v>2</v>
      </c>
      <c r="R5" s="42">
        <v>4.05</v>
      </c>
      <c r="S5" s="42">
        <v>4.1500000000000004</v>
      </c>
      <c r="Y5" s="7"/>
    </row>
    <row r="6" spans="1:26" s="6" customFormat="1" ht="26.45" customHeight="1" x14ac:dyDescent="0.25">
      <c r="A6" s="7" t="s">
        <v>2</v>
      </c>
      <c r="B6" s="7">
        <v>20.840900000000001</v>
      </c>
      <c r="C6" s="66" t="s">
        <v>46</v>
      </c>
      <c r="D6" s="72"/>
      <c r="E6" s="7" t="s">
        <v>52</v>
      </c>
      <c r="F6" s="47">
        <f>P3</f>
        <v>20.840900000000001</v>
      </c>
      <c r="G6" s="7"/>
      <c r="H6" s="75"/>
      <c r="I6" s="7" t="s">
        <v>18</v>
      </c>
      <c r="J6" s="88">
        <v>22</v>
      </c>
      <c r="K6" s="88">
        <v>23.1</v>
      </c>
      <c r="L6" s="82"/>
      <c r="M6" s="82"/>
      <c r="O6" s="40" t="s">
        <v>51</v>
      </c>
      <c r="P6" s="40">
        <f>11.4</f>
        <v>11.4</v>
      </c>
      <c r="Q6" s="40">
        <v>3</v>
      </c>
      <c r="R6" s="42">
        <v>4.1500000000000004</v>
      </c>
      <c r="S6" s="42">
        <v>8</v>
      </c>
    </row>
    <row r="7" spans="1:26" s="6" customFormat="1" x14ac:dyDescent="0.2">
      <c r="A7" s="7" t="s">
        <v>1</v>
      </c>
      <c r="B7" s="10">
        <v>28.1966</v>
      </c>
      <c r="C7" s="38"/>
      <c r="D7" s="73"/>
      <c r="E7" s="7" t="s">
        <v>59</v>
      </c>
      <c r="F7" s="41">
        <f>P4</f>
        <v>3.8</v>
      </c>
      <c r="G7" s="7"/>
      <c r="H7" s="75"/>
      <c r="I7" s="7" t="s">
        <v>42</v>
      </c>
      <c r="J7" s="2">
        <v>1.3</v>
      </c>
      <c r="K7" s="2">
        <v>1.3</v>
      </c>
      <c r="L7" s="82"/>
      <c r="M7" s="82"/>
    </row>
    <row r="8" spans="1:26" s="6" customFormat="1" x14ac:dyDescent="0.2">
      <c r="A8" s="7" t="s">
        <v>3</v>
      </c>
      <c r="B8" s="10">
        <f>B5/10</f>
        <v>0.19612000000000002</v>
      </c>
      <c r="C8" s="10"/>
      <c r="D8" s="74"/>
      <c r="E8" s="7" t="s">
        <v>60</v>
      </c>
      <c r="F8" s="41">
        <f>P5</f>
        <v>7.6</v>
      </c>
      <c r="G8" s="7"/>
      <c r="H8" s="75"/>
      <c r="I8" s="7" t="s">
        <v>19</v>
      </c>
      <c r="J8" s="11">
        <f>J6*J7</f>
        <v>28.6</v>
      </c>
      <c r="K8" s="11">
        <f>K6*K7</f>
        <v>30.03</v>
      </c>
      <c r="L8" s="82"/>
      <c r="M8" s="82"/>
      <c r="Q8" s="44"/>
      <c r="R8" s="43"/>
      <c r="S8" s="57"/>
      <c r="T8" s="43"/>
      <c r="U8" s="43"/>
      <c r="V8" s="7"/>
      <c r="W8" s="7"/>
      <c r="X8" s="7"/>
      <c r="Y8" s="7"/>
      <c r="Z8" s="57"/>
    </row>
    <row r="9" spans="1:26" s="6" customFormat="1" x14ac:dyDescent="0.2">
      <c r="A9" s="7"/>
      <c r="B9" s="10"/>
      <c r="C9" s="7"/>
      <c r="D9" s="75"/>
      <c r="E9" s="7" t="s">
        <v>61</v>
      </c>
      <c r="F9" s="41">
        <f>P6</f>
        <v>11.4</v>
      </c>
      <c r="G9" s="7"/>
      <c r="H9" s="75"/>
      <c r="I9" s="7" t="s">
        <v>20</v>
      </c>
      <c r="J9" s="11">
        <f>B25</f>
        <v>72.231884724806207</v>
      </c>
      <c r="K9" s="11">
        <f>F32</f>
        <v>74.186447127906973</v>
      </c>
      <c r="L9" s="82"/>
      <c r="M9" s="82"/>
      <c r="R9" s="55"/>
      <c r="S9" s="56"/>
      <c r="Z9" s="56"/>
    </row>
    <row r="10" spans="1:26" s="6" customFormat="1" ht="15" x14ac:dyDescent="0.25">
      <c r="A10" s="63" t="s">
        <v>68</v>
      </c>
      <c r="B10" s="85">
        <v>1000000</v>
      </c>
      <c r="C10" s="7"/>
      <c r="D10" s="75"/>
      <c r="E10" s="7" t="s">
        <v>1</v>
      </c>
      <c r="F10" s="47">
        <f>B7</f>
        <v>28.1966</v>
      </c>
      <c r="H10" s="82"/>
      <c r="I10" s="7" t="s">
        <v>21</v>
      </c>
      <c r="J10" s="12">
        <f>J9-J8</f>
        <v>43.631884724806206</v>
      </c>
      <c r="K10" s="12">
        <f>K9-K8</f>
        <v>44.156447127906972</v>
      </c>
      <c r="L10" s="82"/>
      <c r="M10" s="82"/>
      <c r="R10" s="58"/>
      <c r="S10" s="56"/>
    </row>
    <row r="11" spans="1:26" s="6" customFormat="1" x14ac:dyDescent="0.2">
      <c r="A11" s="67"/>
      <c r="B11" s="10"/>
      <c r="C11" s="7"/>
      <c r="D11" s="75"/>
      <c r="E11" s="7" t="s">
        <v>3</v>
      </c>
      <c r="F11" s="47">
        <f>B8</f>
        <v>0.19612000000000002</v>
      </c>
      <c r="H11" s="82"/>
      <c r="I11" s="7" t="s">
        <v>22</v>
      </c>
      <c r="J11" s="18">
        <f>J10/B15</f>
        <v>1.1849501325263159</v>
      </c>
      <c r="K11" s="18">
        <f>K10/F15</f>
        <v>1.1991961430526314</v>
      </c>
      <c r="L11" s="82"/>
      <c r="M11" s="82"/>
      <c r="R11" s="56"/>
      <c r="S11" s="56"/>
    </row>
    <row r="12" spans="1:26" s="6" customFormat="1" ht="15" x14ac:dyDescent="0.25">
      <c r="A12" s="7"/>
      <c r="B12" s="7"/>
      <c r="C12" s="13"/>
      <c r="D12" s="76"/>
      <c r="E12" s="7"/>
      <c r="F12" s="7"/>
      <c r="H12" s="82"/>
      <c r="I12" s="14" t="s">
        <v>22</v>
      </c>
      <c r="J12" s="34">
        <f>K11-J11</f>
        <v>1.4246010526315578E-2</v>
      </c>
      <c r="K12" s="7"/>
      <c r="L12" s="82"/>
      <c r="M12" s="82"/>
    </row>
    <row r="13" spans="1:26" s="6" customFormat="1" ht="15" x14ac:dyDescent="0.25">
      <c r="A13" s="8" t="s">
        <v>5</v>
      </c>
      <c r="B13" s="7"/>
      <c r="C13" s="15"/>
      <c r="D13" s="77"/>
      <c r="E13" s="8" t="s">
        <v>5</v>
      </c>
      <c r="F13" s="7"/>
      <c r="H13" s="82"/>
      <c r="I13" s="110" t="s">
        <v>39</v>
      </c>
      <c r="J13" s="111"/>
      <c r="K13" s="111"/>
      <c r="L13" s="82"/>
      <c r="M13" s="82"/>
    </row>
    <row r="14" spans="1:26" s="6" customFormat="1" ht="15" x14ac:dyDescent="0.25">
      <c r="A14" s="7" t="s">
        <v>8</v>
      </c>
      <c r="B14" s="2">
        <v>38</v>
      </c>
      <c r="C14" s="15"/>
      <c r="D14" s="77"/>
      <c r="E14" s="7" t="s">
        <v>8</v>
      </c>
      <c r="F14" s="33">
        <f>B14</f>
        <v>38</v>
      </c>
      <c r="H14" s="82"/>
      <c r="I14" s="7" t="s">
        <v>37</v>
      </c>
      <c r="J14" s="89">
        <f>J6/20</f>
        <v>1.1000000000000001</v>
      </c>
      <c r="K14" s="89">
        <f>K6/20</f>
        <v>1.155</v>
      </c>
      <c r="L14" s="82"/>
      <c r="M14" s="82"/>
    </row>
    <row r="15" spans="1:26" s="6" customFormat="1" x14ac:dyDescent="0.2">
      <c r="A15" s="7" t="s">
        <v>10</v>
      </c>
      <c r="B15" s="13">
        <f>B14/1.032</f>
        <v>36.821705426356587</v>
      </c>
      <c r="C15" s="15"/>
      <c r="D15" s="77"/>
      <c r="E15" s="7" t="s">
        <v>10</v>
      </c>
      <c r="F15" s="13">
        <f>F14/1.032</f>
        <v>36.821705426356587</v>
      </c>
      <c r="H15" s="82"/>
      <c r="I15" s="7" t="s">
        <v>38</v>
      </c>
      <c r="J15" s="13">
        <f>Z20</f>
        <v>26.137557914102235</v>
      </c>
      <c r="K15" s="13">
        <f>Z24</f>
        <v>26.547016702440512</v>
      </c>
      <c r="L15" s="82"/>
      <c r="M15" s="82"/>
    </row>
    <row r="16" spans="1:26" s="6" customFormat="1" ht="20.25" x14ac:dyDescent="0.3">
      <c r="A16" s="7" t="s">
        <v>9</v>
      </c>
      <c r="B16" s="65">
        <v>3.95</v>
      </c>
      <c r="C16" s="15"/>
      <c r="D16" s="77"/>
      <c r="E16" s="7" t="s">
        <v>17</v>
      </c>
      <c r="F16" s="65">
        <v>4.1500000000000004</v>
      </c>
      <c r="H16" s="82"/>
      <c r="I16" s="7" t="s">
        <v>19</v>
      </c>
      <c r="J16" s="11">
        <f>J14*J15</f>
        <v>28.751313705512462</v>
      </c>
      <c r="K16" s="11">
        <f>K14*K15</f>
        <v>30.661804291318791</v>
      </c>
      <c r="L16" s="82"/>
      <c r="M16" s="82"/>
      <c r="O16" s="16"/>
      <c r="P16" s="17" t="s">
        <v>36</v>
      </c>
      <c r="Q16" s="17"/>
      <c r="R16" s="17"/>
      <c r="S16" s="17"/>
      <c r="T16" s="17"/>
      <c r="U16" s="17"/>
      <c r="V16" s="17"/>
      <c r="W16" s="17"/>
      <c r="X16" s="17"/>
      <c r="Y16" s="16"/>
      <c r="Z16" s="16"/>
    </row>
    <row r="17" spans="1:26" s="6" customFormat="1" x14ac:dyDescent="0.2">
      <c r="A17" s="7" t="s">
        <v>11</v>
      </c>
      <c r="B17" s="1">
        <v>3.3420000000000001</v>
      </c>
      <c r="C17" s="64"/>
      <c r="D17" s="78"/>
      <c r="E17" s="7" t="s">
        <v>53</v>
      </c>
      <c r="F17" s="15">
        <f>IF(AND(F16&lt;=S4,F16&gt;R4),Q4,IF(AND(F16&lt;=S5,F16&gt;=R5),Q5,IF(AND(F16&lt;S6,F16&gt;R6),Q6,IF(AND(F16&lt;=S3,F16&gt;=R3),Q3,"לא בטווח"))))</f>
        <v>2</v>
      </c>
      <c r="H17" s="82"/>
      <c r="I17" s="7" t="s">
        <v>20</v>
      </c>
      <c r="J17" s="12">
        <f>J9</f>
        <v>72.231884724806207</v>
      </c>
      <c r="K17" s="12">
        <f>K9</f>
        <v>74.186447127906973</v>
      </c>
      <c r="L17" s="82"/>
      <c r="M17" s="82"/>
    </row>
    <row r="18" spans="1:26" s="6" customFormat="1" ht="15" x14ac:dyDescent="0.25">
      <c r="A18" s="7" t="s">
        <v>13</v>
      </c>
      <c r="B18" s="15">
        <f>B15*B16/100</f>
        <v>1.4544573643410854</v>
      </c>
      <c r="C18" s="10"/>
      <c r="D18" s="74"/>
      <c r="E18" s="7" t="s">
        <v>11</v>
      </c>
      <c r="F18" s="15">
        <f>B17</f>
        <v>3.3420000000000001</v>
      </c>
      <c r="H18" s="82"/>
      <c r="I18" s="7" t="s">
        <v>21</v>
      </c>
      <c r="J18" s="12">
        <f>J17-J16</f>
        <v>43.480571019293748</v>
      </c>
      <c r="K18" s="12">
        <f>K17-K16</f>
        <v>43.524642836588185</v>
      </c>
      <c r="L18" s="82"/>
      <c r="M18" s="82"/>
      <c r="N18" s="107" t="s">
        <v>35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</row>
    <row r="19" spans="1:26" s="6" customFormat="1" ht="13.9" customHeight="1" x14ac:dyDescent="0.2">
      <c r="A19" s="7" t="s">
        <v>12</v>
      </c>
      <c r="B19" s="15">
        <f>B15*B17/100</f>
        <v>1.2305813953488371</v>
      </c>
      <c r="C19" s="10"/>
      <c r="D19" s="74"/>
      <c r="E19" s="7" t="s">
        <v>13</v>
      </c>
      <c r="F19" s="15">
        <f>F16*F15/100</f>
        <v>1.5281007751937985</v>
      </c>
      <c r="H19" s="82"/>
      <c r="I19" s="7" t="s">
        <v>22</v>
      </c>
      <c r="J19" s="18">
        <f>J18/B15</f>
        <v>1.180840770839767</v>
      </c>
      <c r="K19" s="18">
        <f>K18/F15</f>
        <v>1.1820376686147107</v>
      </c>
      <c r="L19" s="82"/>
      <c r="M19" s="82"/>
      <c r="N19" s="19"/>
      <c r="O19" s="20" t="s">
        <v>23</v>
      </c>
      <c r="P19" s="21" t="s">
        <v>24</v>
      </c>
      <c r="Q19" s="20" t="s">
        <v>25</v>
      </c>
      <c r="R19" s="22" t="s">
        <v>26</v>
      </c>
      <c r="S19" s="22" t="s">
        <v>27</v>
      </c>
      <c r="T19" s="21" t="s">
        <v>28</v>
      </c>
      <c r="U19" s="21" t="s">
        <v>29</v>
      </c>
      <c r="V19" s="21" t="s">
        <v>30</v>
      </c>
      <c r="W19" s="21" t="s">
        <v>31</v>
      </c>
      <c r="X19" s="21" t="s">
        <v>32</v>
      </c>
      <c r="Y19" s="21" t="s">
        <v>33</v>
      </c>
      <c r="Z19" s="21" t="s">
        <v>34</v>
      </c>
    </row>
    <row r="20" spans="1:26" s="6" customFormat="1" ht="15" x14ac:dyDescent="0.25">
      <c r="A20" s="7"/>
      <c r="B20" s="15"/>
      <c r="C20" s="10"/>
      <c r="D20" s="74"/>
      <c r="E20" s="7" t="s">
        <v>12</v>
      </c>
      <c r="F20" s="15">
        <f>F15*F18/100</f>
        <v>1.2305813953488371</v>
      </c>
      <c r="H20" s="82"/>
      <c r="I20" s="14" t="s">
        <v>22</v>
      </c>
      <c r="J20" s="36">
        <f>K19-J19</f>
        <v>1.1968977749436949E-3</v>
      </c>
      <c r="K20" s="7"/>
      <c r="L20" s="82"/>
      <c r="M20" s="82"/>
      <c r="N20" s="19"/>
      <c r="O20" s="23">
        <f>B14</f>
        <v>38</v>
      </c>
      <c r="P20" s="24">
        <f>B16/1.032</f>
        <v>3.8275193798449614</v>
      </c>
      <c r="Q20" s="25">
        <f>(O20*0.4)+(O20*P20*15/100)</f>
        <v>37.016860465116281</v>
      </c>
      <c r="R20" s="29">
        <v>650</v>
      </c>
      <c r="S20" s="29">
        <v>180</v>
      </c>
      <c r="T20" s="24">
        <f>S20/7</f>
        <v>25.714285714285715</v>
      </c>
      <c r="U20" s="24">
        <f>R20^0.75</f>
        <v>128.73155564653348</v>
      </c>
      <c r="V20" s="24">
        <f>0.372*Q20</f>
        <v>13.770272093023257</v>
      </c>
      <c r="W20" s="24">
        <f>0.0968*U20</f>
        <v>12.46121458658444</v>
      </c>
      <c r="X20" s="24">
        <f>V20+W20</f>
        <v>26.231486679607698</v>
      </c>
      <c r="Y20" s="24">
        <f>1-(2.71828^(-0.192*(T20+3.62)))</f>
        <v>0.99641923591092219</v>
      </c>
      <c r="Z20" s="24">
        <f>X20*Y20</f>
        <v>26.137557914102235</v>
      </c>
    </row>
    <row r="21" spans="1:26" s="6" customFormat="1" ht="15" x14ac:dyDescent="0.25">
      <c r="A21" s="8" t="s">
        <v>41</v>
      </c>
      <c r="B21" s="7"/>
      <c r="C21" s="10"/>
      <c r="D21" s="74"/>
      <c r="E21" s="7"/>
      <c r="F21" s="15"/>
      <c r="H21" s="82"/>
      <c r="I21" s="7"/>
      <c r="J21" s="7"/>
      <c r="K21" s="7"/>
      <c r="L21" s="82"/>
      <c r="M21" s="82"/>
    </row>
    <row r="22" spans="1:26" s="6" customFormat="1" ht="15" x14ac:dyDescent="0.25">
      <c r="A22" s="7" t="s">
        <v>84</v>
      </c>
      <c r="B22" s="10">
        <f>B15*B8</f>
        <v>7.2214728682170541</v>
      </c>
      <c r="C22" s="10"/>
      <c r="D22" s="74"/>
      <c r="E22" s="8" t="s">
        <v>41</v>
      </c>
      <c r="F22" s="15"/>
      <c r="H22" s="82"/>
      <c r="I22" s="7"/>
      <c r="J22" s="7"/>
      <c r="K22" s="7"/>
      <c r="L22" s="82"/>
      <c r="M22" s="82"/>
      <c r="N22" s="107" t="s">
        <v>65</v>
      </c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</row>
    <row r="23" spans="1:26" ht="16.5" customHeight="1" x14ac:dyDescent="0.25">
      <c r="A23" s="7" t="s">
        <v>85</v>
      </c>
      <c r="B23" s="10">
        <f>B6*B18</f>
        <v>30.312200484496127</v>
      </c>
      <c r="C23" s="26"/>
      <c r="D23" s="79"/>
      <c r="E23" s="7" t="s">
        <v>14</v>
      </c>
      <c r="F23" s="10">
        <f>B22</f>
        <v>7.2214728682170541</v>
      </c>
      <c r="G23" s="6"/>
      <c r="H23" s="82"/>
      <c r="I23" s="8" t="s">
        <v>69</v>
      </c>
      <c r="J23" s="84">
        <f>B10</f>
        <v>1000000</v>
      </c>
      <c r="L23" s="82"/>
      <c r="M23" s="82"/>
      <c r="N23" s="19"/>
      <c r="O23" s="20" t="s">
        <v>23</v>
      </c>
      <c r="P23" s="21" t="s">
        <v>24</v>
      </c>
      <c r="Q23" s="20" t="s">
        <v>25</v>
      </c>
      <c r="R23" s="22" t="s">
        <v>26</v>
      </c>
      <c r="S23" s="22" t="s">
        <v>27</v>
      </c>
      <c r="T23" s="21" t="s">
        <v>28</v>
      </c>
      <c r="U23" s="21" t="s">
        <v>29</v>
      </c>
      <c r="V23" s="21" t="s">
        <v>30</v>
      </c>
      <c r="W23" s="21" t="s">
        <v>31</v>
      </c>
      <c r="X23" s="21" t="s">
        <v>32</v>
      </c>
      <c r="Y23" s="21" t="s">
        <v>33</v>
      </c>
      <c r="Z23" s="21" t="s">
        <v>34</v>
      </c>
    </row>
    <row r="24" spans="1:26" ht="14.25" customHeight="1" x14ac:dyDescent="0.25">
      <c r="A24" s="7" t="s">
        <v>82</v>
      </c>
      <c r="B24" s="10">
        <f>B19*B7</f>
        <v>34.69821137209302</v>
      </c>
      <c r="C24" s="26"/>
      <c r="D24" s="79"/>
      <c r="E24" s="10" t="s">
        <v>77</v>
      </c>
      <c r="F24" s="15">
        <f>F19*B6</f>
        <v>31.846995445736436</v>
      </c>
      <c r="H24" s="81"/>
      <c r="I24" s="39"/>
      <c r="L24" s="82"/>
      <c r="M24" s="82"/>
      <c r="N24" s="19"/>
      <c r="O24" s="23">
        <f>F14</f>
        <v>38</v>
      </c>
      <c r="P24" s="24">
        <f>F16/1.032</f>
        <v>4.0213178294573648</v>
      </c>
      <c r="Q24" s="25">
        <f>(O24*0.4)+(O24*P24*15/100)</f>
        <v>38.121511627906983</v>
      </c>
      <c r="R24" s="29">
        <v>650</v>
      </c>
      <c r="S24" s="29">
        <v>180</v>
      </c>
      <c r="T24" s="24">
        <f>S24/7</f>
        <v>25.714285714285715</v>
      </c>
      <c r="U24" s="24">
        <f>R24^0.75</f>
        <v>128.73155564653348</v>
      </c>
      <c r="V24" s="24">
        <f>0.372*Q24</f>
        <v>14.181202325581397</v>
      </c>
      <c r="W24" s="24">
        <f>0.0968*U24</f>
        <v>12.46121458658444</v>
      </c>
      <c r="X24" s="24">
        <f>V24+W24</f>
        <v>26.642416912165835</v>
      </c>
      <c r="Y24" s="24">
        <f>1-(2.71828^(-0.192*(T24+3.62)))</f>
        <v>0.99641923591092219</v>
      </c>
      <c r="Z24" s="24">
        <f>X24*Y24</f>
        <v>26.547016702440512</v>
      </c>
    </row>
    <row r="25" spans="1:26" ht="15.75" x14ac:dyDescent="0.25">
      <c r="A25" s="7" t="s">
        <v>86</v>
      </c>
      <c r="B25" s="10">
        <f>B22+B23+B24</f>
        <v>72.231884724806207</v>
      </c>
      <c r="C25" s="26"/>
      <c r="D25" s="79"/>
      <c r="E25" s="10" t="s">
        <v>76</v>
      </c>
      <c r="F25" s="92">
        <f>SUM(F26:F28)</f>
        <v>0.41976744186046611</v>
      </c>
      <c r="H25" s="81"/>
      <c r="I25" s="39" t="s">
        <v>70</v>
      </c>
      <c r="J25" s="35">
        <f>J12*J23</f>
        <v>14246.010526315578</v>
      </c>
      <c r="L25" s="82"/>
      <c r="M25" s="82"/>
    </row>
    <row r="26" spans="1:26" ht="17.25" x14ac:dyDescent="0.35">
      <c r="A26" s="27" t="s">
        <v>15</v>
      </c>
      <c r="B26" s="28">
        <f>B25/B15</f>
        <v>1.9616659220000003</v>
      </c>
      <c r="C26" s="97"/>
      <c r="D26" s="79"/>
      <c r="E26" s="10" t="s">
        <v>78</v>
      </c>
      <c r="F26" s="59">
        <f>(IF(($F$16-R39)&lt;0,0,(IF($F$16&gt;R40,(R40-R39)*S39,($F$16-R39)*S39))))*F15/100</f>
        <v>0.13992248062015453</v>
      </c>
      <c r="G26" s="39"/>
      <c r="H26" s="83"/>
      <c r="L26" s="82"/>
      <c r="M26" s="82"/>
    </row>
    <row r="27" spans="1:26" ht="14.25" customHeight="1" x14ac:dyDescent="0.25">
      <c r="A27" s="26" t="s">
        <v>44</v>
      </c>
      <c r="B27" s="31">
        <f>B5</f>
        <v>1.9612000000000001</v>
      </c>
      <c r="C27" s="26"/>
      <c r="D27" s="79"/>
      <c r="E27" s="10" t="s">
        <v>79</v>
      </c>
      <c r="F27" s="59">
        <f>(IF(($F$16-R40)&lt;0,0,(IF($F$16&gt;R41,(R41-R40)*S40,($F$16-R40)*S40))))*F15/100</f>
        <v>0.27984496124031155</v>
      </c>
      <c r="H27" s="81"/>
      <c r="I27" s="39"/>
      <c r="J27" s="115">
        <f>J20*J23</f>
        <v>1196.8977749436949</v>
      </c>
      <c r="L27" s="82"/>
      <c r="M27" s="82"/>
    </row>
    <row r="28" spans="1:26" ht="30" customHeight="1" x14ac:dyDescent="0.25">
      <c r="A28" s="32" t="s">
        <v>87</v>
      </c>
      <c r="B28" s="100">
        <f>B26-B27</f>
        <v>4.6592200000028505E-4</v>
      </c>
      <c r="C28" s="50"/>
      <c r="D28" s="80"/>
      <c r="E28" s="10" t="s">
        <v>80</v>
      </c>
      <c r="F28" s="59">
        <f>(IF(($F$16-R41)&lt;0,0,(IF($F$16&gt;R41,($F$16-R41)*S41,($F$16-R41)*S41))))*F15/100</f>
        <v>0</v>
      </c>
      <c r="H28" s="81"/>
      <c r="I28" s="39" t="s">
        <v>71</v>
      </c>
      <c r="J28" s="116"/>
      <c r="L28" s="82"/>
      <c r="M28" s="82"/>
    </row>
    <row r="29" spans="1:26" ht="15.75" x14ac:dyDescent="0.25">
      <c r="A29" s="26"/>
      <c r="B29" s="26"/>
      <c r="C29" s="26"/>
      <c r="D29" s="79"/>
      <c r="E29" s="10"/>
      <c r="F29" s="59"/>
      <c r="G29" s="39"/>
      <c r="H29" s="83"/>
      <c r="L29" s="82"/>
      <c r="M29" s="82"/>
    </row>
    <row r="30" spans="1:26" ht="15" x14ac:dyDescent="0.2">
      <c r="A30" s="26"/>
      <c r="B30" s="26"/>
      <c r="C30" s="26"/>
      <c r="D30" s="79"/>
      <c r="E30" s="10" t="s">
        <v>81</v>
      </c>
      <c r="F30" s="59">
        <f>F25+F24</f>
        <v>32.266762887596904</v>
      </c>
      <c r="G30" s="54"/>
      <c r="H30" s="81"/>
      <c r="I30" s="3"/>
      <c r="J30" s="3"/>
      <c r="L30" s="82"/>
      <c r="M30" s="82"/>
    </row>
    <row r="31" spans="1:26" x14ac:dyDescent="0.2">
      <c r="A31" s="26"/>
      <c r="B31" s="26"/>
      <c r="C31" s="26"/>
      <c r="D31" s="79"/>
      <c r="E31" s="7" t="s">
        <v>82</v>
      </c>
      <c r="F31" s="46">
        <f>F20*B7</f>
        <v>34.69821137209302</v>
      </c>
      <c r="H31" s="81"/>
      <c r="L31" s="82"/>
      <c r="M31" s="82"/>
    </row>
    <row r="32" spans="1:26" x14ac:dyDescent="0.2">
      <c r="A32" s="26"/>
      <c r="B32" s="26"/>
      <c r="C32" s="26"/>
      <c r="D32" s="79"/>
      <c r="E32" s="26" t="s">
        <v>83</v>
      </c>
      <c r="F32" s="45">
        <f>F23+F30+F31</f>
        <v>74.186447127906973</v>
      </c>
      <c r="H32" s="81"/>
      <c r="L32" s="82"/>
      <c r="M32" s="82"/>
      <c r="Q32" s="53"/>
    </row>
    <row r="33" spans="1:21" x14ac:dyDescent="0.2">
      <c r="A33" s="26"/>
      <c r="B33" s="26"/>
      <c r="C33" s="26"/>
      <c r="D33" s="79"/>
      <c r="E33" s="26" t="s">
        <v>54</v>
      </c>
      <c r="F33" s="48">
        <f>F32/F15</f>
        <v>2.0147477220000001</v>
      </c>
      <c r="H33" s="81"/>
      <c r="J33" s="50"/>
      <c r="L33" s="82"/>
      <c r="M33" s="82"/>
      <c r="P33" s="49"/>
    </row>
    <row r="34" spans="1:21" ht="15" x14ac:dyDescent="0.25">
      <c r="A34" s="26"/>
      <c r="B34" s="26"/>
      <c r="D34" s="81"/>
      <c r="E34" s="26" t="s">
        <v>88</v>
      </c>
      <c r="F34" s="99">
        <f>F33-B26</f>
        <v>5.3081799999999735E-2</v>
      </c>
      <c r="H34" s="81"/>
      <c r="J34" s="50"/>
      <c r="L34" s="82"/>
      <c r="M34" s="82"/>
      <c r="P34" s="49"/>
      <c r="Q34" s="49"/>
    </row>
    <row r="35" spans="1:21" ht="15" x14ac:dyDescent="0.25">
      <c r="A35" s="26"/>
      <c r="B35" s="26"/>
      <c r="D35" s="81"/>
      <c r="E35" s="26" t="s">
        <v>62</v>
      </c>
      <c r="F35" s="98">
        <f>F25/F15</f>
        <v>1.1400000000000028E-2</v>
      </c>
      <c r="H35" s="81"/>
      <c r="L35" s="82"/>
      <c r="M35" s="82"/>
      <c r="P35" s="49"/>
      <c r="Q35" s="49"/>
    </row>
    <row r="36" spans="1:21" ht="15" x14ac:dyDescent="0.25">
      <c r="A36" s="26"/>
      <c r="B36" s="26"/>
      <c r="D36" s="81"/>
      <c r="E36" s="26"/>
      <c r="F36" s="98"/>
      <c r="H36" s="81"/>
      <c r="J36" s="112"/>
      <c r="K36" s="112"/>
      <c r="L36" s="82"/>
      <c r="M36" s="82"/>
    </row>
    <row r="37" spans="1:21" ht="29.25" x14ac:dyDescent="0.25">
      <c r="A37" s="26"/>
      <c r="B37" s="26"/>
      <c r="D37" s="81"/>
      <c r="E37" s="61" t="s">
        <v>67</v>
      </c>
      <c r="F37" s="54"/>
      <c r="H37" s="81"/>
      <c r="J37" s="112"/>
      <c r="K37" s="112"/>
      <c r="L37" s="82"/>
      <c r="M37" s="82"/>
      <c r="P37" s="40" t="s">
        <v>0</v>
      </c>
      <c r="Q37" s="40" t="s">
        <v>55</v>
      </c>
      <c r="R37" s="40" t="s">
        <v>57</v>
      </c>
      <c r="S37" s="95" t="s">
        <v>48</v>
      </c>
      <c r="T37" s="91" t="s">
        <v>75</v>
      </c>
    </row>
    <row r="38" spans="1:21" x14ac:dyDescent="0.2">
      <c r="D38" s="81"/>
      <c r="E38" s="26" t="s">
        <v>63</v>
      </c>
      <c r="F38" s="49">
        <f>F16-B16</f>
        <v>0.20000000000000018</v>
      </c>
      <c r="H38" s="81"/>
      <c r="L38" s="81"/>
      <c r="M38" s="81"/>
      <c r="P38" s="40" t="s">
        <v>47</v>
      </c>
      <c r="Q38" s="40">
        <v>0</v>
      </c>
      <c r="R38" s="42">
        <v>0</v>
      </c>
      <c r="S38" s="96">
        <f>B41</f>
        <v>0</v>
      </c>
      <c r="T38" s="94">
        <v>0</v>
      </c>
    </row>
    <row r="39" spans="1:21" x14ac:dyDescent="0.2">
      <c r="D39" s="81"/>
      <c r="E39" s="3" t="s">
        <v>66</v>
      </c>
      <c r="F39" s="60">
        <f>B10</f>
        <v>1000000</v>
      </c>
      <c r="H39" s="81"/>
      <c r="L39" s="81"/>
      <c r="M39" s="81"/>
      <c r="P39" s="40" t="s">
        <v>49</v>
      </c>
      <c r="Q39" s="40">
        <v>1</v>
      </c>
      <c r="R39" s="42">
        <v>3.95</v>
      </c>
      <c r="S39" s="96">
        <v>3.8</v>
      </c>
      <c r="T39" s="93">
        <f>(R39-R38)*S38+T38</f>
        <v>0</v>
      </c>
    </row>
    <row r="40" spans="1:21" x14ac:dyDescent="0.2">
      <c r="D40" s="81"/>
      <c r="E40" s="26" t="s">
        <v>89</v>
      </c>
      <c r="F40" s="60">
        <f>F39*F34</f>
        <v>53081.799999999734</v>
      </c>
      <c r="H40" s="81"/>
      <c r="L40" s="81"/>
      <c r="M40" s="81"/>
      <c r="P40" s="40" t="s">
        <v>50</v>
      </c>
      <c r="Q40" s="40">
        <v>2</v>
      </c>
      <c r="R40" s="42">
        <v>4.05</v>
      </c>
      <c r="S40" s="96">
        <v>7.6</v>
      </c>
      <c r="T40" s="93">
        <f>(R40-R39)*S39+T39</f>
        <v>0.37999999999999862</v>
      </c>
    </row>
    <row r="41" spans="1:21" ht="15" x14ac:dyDescent="0.25">
      <c r="D41" s="81"/>
      <c r="E41" s="26" t="s">
        <v>64</v>
      </c>
      <c r="F41" s="62">
        <f>F39*F35</f>
        <v>11400.000000000027</v>
      </c>
      <c r="H41" s="81"/>
      <c r="L41" s="81"/>
      <c r="M41" s="81"/>
      <c r="P41" s="40" t="s">
        <v>51</v>
      </c>
      <c r="Q41" s="40">
        <v>3</v>
      </c>
      <c r="R41" s="42">
        <v>4.1500000000000004</v>
      </c>
      <c r="S41" s="96">
        <v>11.4</v>
      </c>
      <c r="T41" s="93">
        <f>(R41-R40)*S40+T40</f>
        <v>1.1400000000000026</v>
      </c>
    </row>
    <row r="42" spans="1:21" x14ac:dyDescent="0.2">
      <c r="D42" s="81"/>
      <c r="E42" s="26"/>
      <c r="F42" s="51"/>
      <c r="H42" s="81"/>
      <c r="L42" s="81"/>
      <c r="M42" s="81"/>
    </row>
    <row r="43" spans="1:21" ht="20.25" x14ac:dyDescent="0.3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P43" s="54"/>
      <c r="Q43" s="54"/>
      <c r="R43" s="54"/>
      <c r="S43" s="104"/>
      <c r="T43" s="104"/>
      <c r="U43" s="54"/>
    </row>
    <row r="44" spans="1:21" ht="15" x14ac:dyDescent="0.2">
      <c r="E44" s="26"/>
      <c r="F44" s="53"/>
      <c r="P44" s="59"/>
      <c r="Q44" s="54"/>
      <c r="R44" s="54"/>
      <c r="S44" s="54"/>
      <c r="T44" s="54"/>
      <c r="U44" s="54"/>
    </row>
    <row r="45" spans="1:21" x14ac:dyDescent="0.2">
      <c r="F45" s="52"/>
      <c r="P45" s="102"/>
      <c r="Q45" s="54"/>
      <c r="R45" s="54"/>
      <c r="S45" s="54"/>
      <c r="T45" s="54"/>
      <c r="U45" s="54"/>
    </row>
    <row r="47" spans="1:21" x14ac:dyDescent="0.2">
      <c r="P47" s="49"/>
    </row>
    <row r="48" spans="1:21" x14ac:dyDescent="0.2">
      <c r="E48" s="54"/>
      <c r="F48" s="54"/>
      <c r="G48" s="54"/>
    </row>
    <row r="49" spans="5:7" ht="15" x14ac:dyDescent="0.25">
      <c r="E49" s="101"/>
      <c r="F49" s="60"/>
      <c r="G49" s="54"/>
    </row>
    <row r="50" spans="5:7" x14ac:dyDescent="0.2">
      <c r="E50" s="54"/>
      <c r="F50" s="102"/>
      <c r="G50" s="54"/>
    </row>
    <row r="51" spans="5:7" x14ac:dyDescent="0.2">
      <c r="E51" s="54"/>
      <c r="F51" s="103"/>
      <c r="G51" s="54"/>
    </row>
    <row r="52" spans="5:7" ht="15" x14ac:dyDescent="0.25">
      <c r="E52" s="101"/>
      <c r="F52" s="103"/>
      <c r="G52" s="54"/>
    </row>
    <row r="53" spans="5:7" x14ac:dyDescent="0.2">
      <c r="E53" s="54"/>
      <c r="F53" s="102"/>
      <c r="G53" s="54"/>
    </row>
    <row r="54" spans="5:7" x14ac:dyDescent="0.2">
      <c r="E54" s="54"/>
      <c r="F54" s="103"/>
      <c r="G54" s="54"/>
    </row>
    <row r="55" spans="5:7" ht="15" x14ac:dyDescent="0.25">
      <c r="E55" s="101"/>
      <c r="F55" s="54"/>
      <c r="G55" s="54"/>
    </row>
    <row r="56" spans="5:7" x14ac:dyDescent="0.2">
      <c r="E56" s="54"/>
      <c r="F56" s="102"/>
      <c r="G56" s="54"/>
    </row>
    <row r="57" spans="5:7" x14ac:dyDescent="0.2">
      <c r="E57" s="54"/>
      <c r="F57" s="54"/>
      <c r="G57" s="54"/>
    </row>
    <row r="58" spans="5:7" x14ac:dyDescent="0.2">
      <c r="E58" s="54"/>
      <c r="F58" s="54"/>
      <c r="G58" s="54"/>
    </row>
    <row r="59" spans="5:7" x14ac:dyDescent="0.2">
      <c r="E59" s="54"/>
      <c r="F59" s="103"/>
      <c r="G59" s="54"/>
    </row>
    <row r="60" spans="5:7" x14ac:dyDescent="0.2">
      <c r="E60" s="54"/>
      <c r="F60" s="54"/>
      <c r="G60" s="54"/>
    </row>
    <row r="61" spans="5:7" x14ac:dyDescent="0.2">
      <c r="E61" s="54"/>
      <c r="F61" s="60"/>
      <c r="G61" s="54"/>
    </row>
    <row r="62" spans="5:7" x14ac:dyDescent="0.2">
      <c r="E62" s="54"/>
      <c r="F62" s="60"/>
      <c r="G62" s="54"/>
    </row>
    <row r="63" spans="5:7" x14ac:dyDescent="0.2">
      <c r="E63" s="54"/>
      <c r="F63" s="54"/>
      <c r="G63" s="54"/>
    </row>
    <row r="64" spans="5:7" ht="15" x14ac:dyDescent="0.25">
      <c r="E64" s="101"/>
      <c r="F64" s="54"/>
      <c r="G64" s="54"/>
    </row>
  </sheetData>
  <sheetProtection sheet="1" selectLockedCells="1"/>
  <mergeCells count="11">
    <mergeCell ref="A1:L1"/>
    <mergeCell ref="N18:Z18"/>
    <mergeCell ref="N22:Z22"/>
    <mergeCell ref="I13:K13"/>
    <mergeCell ref="J36:K37"/>
    <mergeCell ref="I3:K3"/>
    <mergeCell ref="I5:K5"/>
    <mergeCell ref="J27:J28"/>
    <mergeCell ref="A2:C2"/>
    <mergeCell ref="E2:G2"/>
    <mergeCell ref="I2:K2"/>
  </mergeCells>
  <phoneticPr fontId="17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רן סולומון-Ran Solomon</dc:creator>
  <cp:lastModifiedBy>רן סולומון-Ran Solomon</cp:lastModifiedBy>
  <dcterms:created xsi:type="dcterms:W3CDTF">2016-01-07T15:13:22Z</dcterms:created>
  <dcterms:modified xsi:type="dcterms:W3CDTF">2021-02-14T15:13:35Z</dcterms:modified>
</cp:coreProperties>
</file>